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BPI Files\Charters\BEL-Believe Circle City High School - BECICI\2026\Authorizer\"/>
    </mc:Choice>
  </mc:AlternateContent>
  <xr:revisionPtr revIDLastSave="25" documentId="13_ncr:1_{EFFBC0F1-DABF-41D3-A7C1-D2D4E74B40F6}" xr6:coauthVersionLast="47" xr6:coauthVersionMax="47" xr10:uidLastSave="{3918EACC-E67A-47E2-9F1A-96B6AF85A68B}"/>
  <bookViews>
    <workbookView xWindow="-28920" yWindow="-120" windowWidth="29040" windowHeight="15720" firstSheet="1" activeTab="1" xr2:uid="{D5909E74-E318-4EE2-ACC5-301C8C05E75F}"/>
  </bookViews>
  <sheets>
    <sheet name="Balance Sheet" sheetId="69" r:id="rId1"/>
    <sheet name="P&amp;L" sheetId="70" r:id="rId2"/>
    <sheet name="P&amp;L by fund - QTD" sheetId="71" r:id="rId3"/>
    <sheet name="P&amp;L by fund - YTD" sheetId="72" r:id="rId4"/>
    <sheet name="Budget V Actual - YTD" sheetId="73" r:id="rId5"/>
    <sheet name="25-26 Cash Flow" sheetId="53" r:id="rId6"/>
  </sheets>
  <definedNames>
    <definedName name="Cash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eriod">#REF!</definedName>
    <definedName name="PeriodEnd">#REF!</definedName>
    <definedName name="_xlnm.Print_Titles" localSheetId="0">'Balance Sheet'!$A:$E,'Balance Sheet'!$1:$1</definedName>
    <definedName name="_xlnm.Print_Titles" localSheetId="4">'Budget V Actual - YTD'!$A:$F,'Budget V Actual - YTD'!$1:$2</definedName>
    <definedName name="_xlnm.Print_Titles" localSheetId="1">'P&amp;L'!$A:$F,'P&amp;L'!$1:$2</definedName>
    <definedName name="_xlnm.Print_Titles" localSheetId="2">'P&amp;L by fund - QTD'!$A:$F,'P&amp;L by fund - QTD'!$1:$1</definedName>
    <definedName name="_xlnm.Print_Titles" localSheetId="3">'P&amp;L by fund - YTD'!$A:$F,'P&amp;L by fund - YTD'!$1:$1</definedName>
    <definedName name="QB_COLUMN_103210" localSheetId="3" hidden="1">'P&amp;L by fund - YTD'!$Y$1</definedName>
    <definedName name="QB_COLUMN_105210" localSheetId="3" hidden="1">'P&amp;L by fund - YTD'!$AW$1</definedName>
    <definedName name="QB_COLUMN_106210" localSheetId="3" hidden="1">'P&amp;L by fund - YTD'!$BA$1</definedName>
    <definedName name="QB_COLUMN_107210" localSheetId="2" hidden="1">'P&amp;L by fund - QTD'!$W$1</definedName>
    <definedName name="QB_COLUMN_107210" localSheetId="3" hidden="1">'P&amp;L by fund - YTD'!$AE$1</definedName>
    <definedName name="QB_COLUMN_108210" localSheetId="2" hidden="1">'P&amp;L by fund - QTD'!$AM$1</definedName>
    <definedName name="QB_COLUMN_108210" localSheetId="3" hidden="1">'P&amp;L by fund - YTD'!$AY$1</definedName>
    <definedName name="QB_COLUMN_109210" localSheetId="2" hidden="1">'P&amp;L by fund - QTD'!$S$1</definedName>
    <definedName name="QB_COLUMN_109210" localSheetId="3" hidden="1">'P&amp;L by fund - YTD'!$AA$1</definedName>
    <definedName name="QB_COLUMN_110210" localSheetId="2" hidden="1">'P&amp;L by fund - QTD'!$AQ$1</definedName>
    <definedName name="QB_COLUMN_110210" localSheetId="3" hidden="1">'P&amp;L by fund - YTD'!$BI$1</definedName>
    <definedName name="QB_COLUMN_111210" localSheetId="2" hidden="1">'P&amp;L by fund - QTD'!$AO$1</definedName>
    <definedName name="QB_COLUMN_111210" localSheetId="3" hidden="1">'P&amp;L by fund - YTD'!$BE$1</definedName>
    <definedName name="QB_COLUMN_112210" localSheetId="3" hidden="1">'P&amp;L by fund - YTD'!$AK$1</definedName>
    <definedName name="QB_COLUMN_116210" localSheetId="2" hidden="1">'P&amp;L by fund - QTD'!$U$1</definedName>
    <definedName name="QB_COLUMN_116210" localSheetId="3" hidden="1">'P&amp;L by fund - YTD'!$AC$1</definedName>
    <definedName name="QB_COLUMN_13210" localSheetId="3" hidden="1">'P&amp;L by fund - YTD'!$I$1</definedName>
    <definedName name="QB_COLUMN_22210" localSheetId="2" hidden="1">'P&amp;L by fund - QTD'!$AC$1</definedName>
    <definedName name="QB_COLUMN_22210" localSheetId="3" hidden="1">'P&amp;L by fund - YTD'!$AM$1</definedName>
    <definedName name="QB_COLUMN_23210" localSheetId="2" hidden="1">'P&amp;L by fund - QTD'!$AS$1</definedName>
    <definedName name="QB_COLUMN_23210" localSheetId="3" hidden="1">'P&amp;L by fund - YTD'!$BM$1</definedName>
    <definedName name="QB_COLUMN_28210" localSheetId="2" hidden="1">'P&amp;L by fund - QTD'!$AK$1</definedName>
    <definedName name="QB_COLUMN_28210" localSheetId="3" hidden="1">'P&amp;L by fund - YTD'!$AU$1</definedName>
    <definedName name="QB_COLUMN_29" localSheetId="0" hidden="1">'Balance Sheet'!$F$1</definedName>
    <definedName name="QB_COLUMN_30210" localSheetId="3" hidden="1">'P&amp;L by fund - YTD'!$K$1</definedName>
    <definedName name="QB_COLUMN_37210" localSheetId="2" hidden="1">'P&amp;L by fund - QTD'!$I$1</definedName>
    <definedName name="QB_COLUMN_37210" localSheetId="3" hidden="1">'P&amp;L by fund - YTD'!$M$1</definedName>
    <definedName name="QB_COLUMN_42210" localSheetId="2" hidden="1">'P&amp;L by fund - QTD'!$AU$1</definedName>
    <definedName name="QB_COLUMN_42210" localSheetId="3" hidden="1">'P&amp;L by fund - YTD'!$BO$1</definedName>
    <definedName name="QB_COLUMN_42301" localSheetId="2" hidden="1">'P&amp;L by fund - QTD'!$AW$1</definedName>
    <definedName name="QB_COLUMN_42301" localSheetId="3" hidden="1">'P&amp;L by fund - YTD'!$BQ$1</definedName>
    <definedName name="QB_COLUMN_43210" localSheetId="2" hidden="1">'P&amp;L by fund - QTD'!$AA$1</definedName>
    <definedName name="QB_COLUMN_43210" localSheetId="3" hidden="1">'P&amp;L by fund - YTD'!$AI$1</definedName>
    <definedName name="QB_COLUMN_45210" localSheetId="2" hidden="1">'P&amp;L by fund - QTD'!$AI$1</definedName>
    <definedName name="QB_COLUMN_45210" localSheetId="3" hidden="1">'P&amp;L by fund - YTD'!$AS$1</definedName>
    <definedName name="QB_COLUMN_47210" localSheetId="2" hidden="1">'P&amp;L by fund - QTD'!$AG$1</definedName>
    <definedName name="QB_COLUMN_47210" localSheetId="3" hidden="1">'P&amp;L by fund - YTD'!$AQ$1</definedName>
    <definedName name="QB_COLUMN_58210" localSheetId="2" hidden="1">'P&amp;L by fund - QTD'!$AE$1</definedName>
    <definedName name="QB_COLUMN_58210" localSheetId="3" hidden="1">'P&amp;L by fund - YTD'!$AO$1</definedName>
    <definedName name="QB_COLUMN_59200" localSheetId="4" hidden="1">'Budget V Actual - YTD'!$G$2</definedName>
    <definedName name="QB_COLUMN_59200" localSheetId="1" hidden="1">'P&amp;L'!$G$2</definedName>
    <definedName name="QB_COLUMN_62210" localSheetId="1" hidden="1">'P&amp;L'!$I$2</definedName>
    <definedName name="QB_COLUMN_62210" localSheetId="2" hidden="1">'P&amp;L by fund - QTD'!$K$1</definedName>
    <definedName name="QB_COLUMN_62210" localSheetId="3" hidden="1">'P&amp;L by fund - YTD'!$O$1</definedName>
    <definedName name="QB_COLUMN_63620" localSheetId="4" hidden="1">'Budget V Actual - YTD'!$K$2</definedName>
    <definedName name="QB_COLUMN_64430" localSheetId="4" hidden="1">'Budget V Actual - YTD'!$M$2</definedName>
    <definedName name="QB_COLUMN_7210" localSheetId="2" hidden="1">'P&amp;L by fund - QTD'!$G$1</definedName>
    <definedName name="QB_COLUMN_7210" localSheetId="3" hidden="1">'P&amp;L by fund - YTD'!$G$1</definedName>
    <definedName name="QB_COLUMN_72210" localSheetId="3" hidden="1">'P&amp;L by fund - YTD'!$Q$1</definedName>
    <definedName name="QB_COLUMN_76210" localSheetId="4" hidden="1">'Budget V Actual - YTD'!$I$2</definedName>
    <definedName name="QB_COLUMN_76210" localSheetId="2" hidden="1">'P&amp;L by fund - QTD'!$M$1</definedName>
    <definedName name="QB_COLUMN_76210" localSheetId="3" hidden="1">'P&amp;L by fund - YTD'!$S$1</definedName>
    <definedName name="QB_COLUMN_8210" localSheetId="2" hidden="1">'P&amp;L by fund - QTD'!$Y$1</definedName>
    <definedName name="QB_COLUMN_8210" localSheetId="3" hidden="1">'P&amp;L by fund - YTD'!$AG$1</definedName>
    <definedName name="QB_COLUMN_83210" localSheetId="3" hidden="1">'P&amp;L by fund - YTD'!$BG$1</definedName>
    <definedName name="QB_COLUMN_87210" localSheetId="2" hidden="1">'P&amp;L by fund - QTD'!$O$1</definedName>
    <definedName name="QB_COLUMN_87210" localSheetId="3" hidden="1">'P&amp;L by fund - YTD'!$U$1</definedName>
    <definedName name="QB_COLUMN_89210" localSheetId="3" hidden="1">'P&amp;L by fund - YTD'!$BK$1</definedName>
    <definedName name="QB_COLUMN_95210" localSheetId="3" hidden="1">'P&amp;L by fund - YTD'!$BC$1</definedName>
    <definedName name="QB_COLUMN_98210" localSheetId="2" hidden="1">'P&amp;L by fund - QTD'!$Q$1</definedName>
    <definedName name="QB_COLUMN_98210" localSheetId="3" hidden="1">'P&amp;L by fund - YTD'!$W$1</definedName>
    <definedName name="QB_DATA_0" localSheetId="0" hidden="1">'Balance Sheet'!$6:$6,'Balance Sheet'!$7:$7,'Balance Sheet'!$8:$8,'Balance Sheet'!$9:$9,'Balance Sheet'!$10:$10,'Balance Sheet'!$11:$11,'Balance Sheet'!$12:$12,'Balance Sheet'!$13:$13,'Balance Sheet'!$14:$14,'Balance Sheet'!$15:$15,'Balance Sheet'!$16:$16,'Balance Sheet'!$17:$17,'Balance Sheet'!$18:$18,'Balance Sheet'!$19:$19,'Balance Sheet'!$20:$20,'Balance Sheet'!$21:$21</definedName>
    <definedName name="QB_DATA_0" localSheetId="4" hidden="1">'Budget V Actual - YTD'!$5:$5,'Budget V Actual - YTD'!$6:$6,'Budget V Actual - YTD'!$7:$7,'Budget V Actual - YTD'!$8:$8,'Budget V Actual - YTD'!$9:$9,'Budget V Actual - YTD'!$10:$10,'Budget V Actual - YTD'!$11:$11,'Budget V Actual - YTD'!$12:$12,'Budget V Actual - YTD'!$13:$13,'Budget V Actual - YTD'!$14:$14,'Budget V Actual - YTD'!$15:$15,'Budget V Actual - YTD'!$16:$16,'Budget V Actual - YTD'!$17:$17,'Budget V Actual - YTD'!$18:$18,'Budget V Actual - YTD'!$19:$19,'Budget V Actual - YTD'!$20:$20</definedName>
    <definedName name="QB_DATA_0" localSheetId="1" hidden="1">'P&amp;L'!$5:$5,'P&amp;L'!$6:$6,'P&amp;L'!$7:$7,'P&amp;L'!$8:$8,'P&amp;L'!$9:$9,'P&amp;L'!$10:$10,'P&amp;L'!$11:$11,'P&amp;L'!$12:$12,'P&amp;L'!$13:$13,'P&amp;L'!$14:$14,'P&amp;L'!$15:$15,'P&amp;L'!$16:$16,'P&amp;L'!$17:$17,'P&amp;L'!$18:$18,'P&amp;L'!$19:$19,'P&amp;L'!$20:$20</definedName>
    <definedName name="QB_DATA_0" localSheetId="2" hidden="1">'P&amp;L by fund - QTD'!$4:$4,'P&amp;L by fund - QTD'!$5:$5,'P&amp;L by fund - QTD'!$6:$6,'P&amp;L by fund - QTD'!$7:$7,'P&amp;L by fund - QTD'!$8:$8,'P&amp;L by fund - QTD'!$9:$9,'P&amp;L by fund - QTD'!$10:$10,'P&amp;L by fund - QTD'!$11:$11,'P&amp;L by fund - QTD'!$12:$12,'P&amp;L by fund - QTD'!$13:$13,'P&amp;L by fund - QTD'!$14:$14,'P&amp;L by fund - QTD'!$15:$15,'P&amp;L by fund - QTD'!$16:$16,'P&amp;L by fund - QTD'!$17:$17,'P&amp;L by fund - QTD'!$18:$18,'P&amp;L by fund - QTD'!$19:$19</definedName>
    <definedName name="QB_DATA_0" localSheetId="3" hidden="1">'P&amp;L by fund - YTD'!$4:$4,'P&amp;L by fund - YTD'!$5:$5,'P&amp;L by fund - YTD'!$6:$6,'P&amp;L by fund - YTD'!$7:$7,'P&amp;L by fund - YTD'!$8:$8,'P&amp;L by fund - YTD'!$9:$9,'P&amp;L by fund - YTD'!$10:$10,'P&amp;L by fund - YTD'!$11:$11,'P&amp;L by fund - YTD'!$12:$12,'P&amp;L by fund - YTD'!$13:$13,'P&amp;L by fund - YTD'!$14:$14,'P&amp;L by fund - YTD'!$15:$15,'P&amp;L by fund - YTD'!$16:$16,'P&amp;L by fund - YTD'!$17:$17,'P&amp;L by fund - YTD'!$18:$18,'P&amp;L by fund - YTD'!$19:$19</definedName>
    <definedName name="QB_DATA_1" localSheetId="0" hidden="1">'Balance Sheet'!$22:$22,'Balance Sheet'!$23:$23,'Balance Sheet'!$24:$24,'Balance Sheet'!$25:$25,'Balance Sheet'!$26:$26,'Balance Sheet'!$27:$27,'Balance Sheet'!$28:$28,'Balance Sheet'!$31:$31,'Balance Sheet'!$34:$34,'Balance Sheet'!$37:$37,'Balance Sheet'!$41:$41,'Balance Sheet'!$44:$44,'Balance Sheet'!$45:$45,'Balance Sheet'!$50:$50,'Balance Sheet'!$51:$51,'Balance Sheet'!$54:$54</definedName>
    <definedName name="QB_DATA_1" localSheetId="4" hidden="1">'Budget V Actual - YTD'!$21:$21,'Budget V Actual - YTD'!$22:$22,'Budget V Actual - YTD'!$23:$23,'Budget V Actual - YTD'!$24:$24,'Budget V Actual - YTD'!$25:$25,'Budget V Actual - YTD'!$26:$26,'Budget V Actual - YTD'!$27:$27,'Budget V Actual - YTD'!$28:$28,'Budget V Actual - YTD'!$29:$29,'Budget V Actual - YTD'!$31:$31,'Budget V Actual - YTD'!$33:$33,'Budget V Actual - YTD'!$34:$34,'Budget V Actual - YTD'!$35:$35,'Budget V Actual - YTD'!$39:$39,'Budget V Actual - YTD'!$40:$40,'Budget V Actual - YTD'!$42:$42</definedName>
    <definedName name="QB_DATA_1" localSheetId="1" hidden="1">'P&amp;L'!$21:$21,'P&amp;L'!$22:$22,'P&amp;L'!$23:$23,'P&amp;L'!$24:$24,'P&amp;L'!$25:$25,'P&amp;L'!$27:$27,'P&amp;L'!$29:$29,'P&amp;L'!$30:$30,'P&amp;L'!$31:$31,'P&amp;L'!$35:$35,'P&amp;L'!$36:$36,'P&amp;L'!$38:$38,'P&amp;L'!$39:$39,'P&amp;L'!$40:$40,'P&amp;L'!$41:$41,'P&amp;L'!$42:$42</definedName>
    <definedName name="QB_DATA_1" localSheetId="2" hidden="1">'P&amp;L by fund - QTD'!$20:$20,'P&amp;L by fund - QTD'!$24:$24,'P&amp;L by fund - QTD'!$26:$26,'P&amp;L by fund - QTD'!$27:$27,'P&amp;L by fund - QTD'!$28:$28,'P&amp;L by fund - QTD'!$29:$29,'P&amp;L by fund - QTD'!$30:$30,'P&amp;L by fund - QTD'!$31:$31,'P&amp;L by fund - QTD'!$32:$32,'P&amp;L by fund - QTD'!$33:$33,'P&amp;L by fund - QTD'!$34:$34,'P&amp;L by fund - QTD'!$35:$35,'P&amp;L by fund - QTD'!$36:$36,'P&amp;L by fund - QTD'!$37:$37,'P&amp;L by fund - QTD'!$38:$38,'P&amp;L by fund - QTD'!$39:$39</definedName>
    <definedName name="QB_DATA_1" localSheetId="3" hidden="1">'P&amp;L by fund - YTD'!$20:$20,'P&amp;L by fund - YTD'!$21:$21,'P&amp;L by fund - YTD'!$22:$22,'P&amp;L by fund - YTD'!$23:$23,'P&amp;L by fund - YTD'!$24:$24,'P&amp;L by fund - YTD'!$26:$26,'P&amp;L by fund - YTD'!$28:$28,'P&amp;L by fund - YTD'!$29:$29,'P&amp;L by fund - YTD'!$30:$30,'P&amp;L by fund - YTD'!$34:$34,'P&amp;L by fund - YTD'!$35:$35,'P&amp;L by fund - YTD'!$37:$37,'P&amp;L by fund - YTD'!$38:$38,'P&amp;L by fund - YTD'!$39:$39,'P&amp;L by fund - YTD'!$40:$40,'P&amp;L by fund - YTD'!$41:$41</definedName>
    <definedName name="QB_DATA_10" localSheetId="4" hidden="1">'Budget V Actual - YTD'!$221:$221,'Budget V Actual - YTD'!$222:$222,'Budget V Actual - YTD'!$223:$223,'Budget V Actual - YTD'!$224:$224,'Budget V Actual - YTD'!$225:$225,'Budget V Actual - YTD'!$226:$226,'Budget V Actual - YTD'!$227:$227,'Budget V Actual - YTD'!$228:$228,'Budget V Actual - YTD'!$231:$231,'Budget V Actual - YTD'!$234:$234,'Budget V Actual - YTD'!$237:$237,'Budget V Actual - YTD'!$238:$238,'Budget V Actual - YTD'!$239:$239,'Budget V Actual - YTD'!$242:$242,'Budget V Actual - YTD'!$243:$243,'Budget V Actual - YTD'!$246:$246</definedName>
    <definedName name="QB_DATA_10" localSheetId="1" hidden="1">'P&amp;L'!$223:$223,'P&amp;L'!$226:$226,'P&amp;L'!$227:$227,'P&amp;L'!$228:$228,'P&amp;L'!$231:$231,'P&amp;L'!$232:$232,'P&amp;L'!$235:$235,'P&amp;L'!$236:$236,'P&amp;L'!$237:$237,'P&amp;L'!$238:$238,'P&amp;L'!$239:$239,'P&amp;L'!$242:$242,'P&amp;L'!$248:$248</definedName>
    <definedName name="QB_DATA_10" localSheetId="3" hidden="1">'P&amp;L by fund - YTD'!$222:$222,'P&amp;L by fund - YTD'!$225:$225,'P&amp;L by fund - YTD'!$226:$226,'P&amp;L by fund - YTD'!$227:$227,'P&amp;L by fund - YTD'!$230:$230,'P&amp;L by fund - YTD'!$231:$231,'P&amp;L by fund - YTD'!$234:$234,'P&amp;L by fund - YTD'!$235:$235,'P&amp;L by fund - YTD'!$236:$236,'P&amp;L by fund - YTD'!$237:$237,'P&amp;L by fund - YTD'!$238:$238,'P&amp;L by fund - YTD'!$241:$241,'P&amp;L by fund - YTD'!$247:$247</definedName>
    <definedName name="QB_DATA_11" localSheetId="4" hidden="1">'Budget V Actual - YTD'!$247:$247,'Budget V Actual - YTD'!$248:$248,'Budget V Actual - YTD'!$249:$249,'Budget V Actual - YTD'!$250:$250,'Budget V Actual - YTD'!$253:$253,'Budget V Actual - YTD'!$259:$259,'Budget V Actual - YTD'!$260:$260</definedName>
    <definedName name="QB_DATA_2" localSheetId="0" hidden="1">'Balance Sheet'!$55:$55,'Balance Sheet'!$57:$57,'Balance Sheet'!$64:$64,'Balance Sheet'!$67:$67,'Balance Sheet'!$68:$68,'Balance Sheet'!$69:$69,'Balance Sheet'!$74:$74,'Balance Sheet'!$79:$79,'Balance Sheet'!$80:$80,'Balance Sheet'!$81:$81,'Balance Sheet'!$82:$82</definedName>
    <definedName name="QB_DATA_2" localSheetId="4" hidden="1">'Budget V Actual - YTD'!$43:$43,'Budget V Actual - YTD'!$44:$44,'Budget V Actual - YTD'!$45:$45,'Budget V Actual - YTD'!$46:$46,'Budget V Actual - YTD'!$47:$47,'Budget V Actual - YTD'!$48:$48,'Budget V Actual - YTD'!$49:$49,'Budget V Actual - YTD'!$50:$50,'Budget V Actual - YTD'!$51:$51,'Budget V Actual - YTD'!$52:$52,'Budget V Actual - YTD'!$53:$53,'Budget V Actual - YTD'!$54:$54,'Budget V Actual - YTD'!$55:$55,'Budget V Actual - YTD'!$56:$56,'Budget V Actual - YTD'!$57:$57,'Budget V Actual - YTD'!$58:$58</definedName>
    <definedName name="QB_DATA_2" localSheetId="1" hidden="1">'P&amp;L'!$43:$43,'P&amp;L'!$44:$44,'P&amp;L'!$45:$45,'P&amp;L'!$46:$46,'P&amp;L'!$47:$47,'P&amp;L'!$48:$48,'P&amp;L'!$49:$49,'P&amp;L'!$50:$50,'P&amp;L'!$51:$51,'P&amp;L'!$52:$52,'P&amp;L'!$53:$53,'P&amp;L'!$54:$54,'P&amp;L'!$55:$55,'P&amp;L'!$56:$56,'P&amp;L'!$57:$57,'P&amp;L'!$58:$58</definedName>
    <definedName name="QB_DATA_2" localSheetId="2" hidden="1">'P&amp;L by fund - QTD'!$40:$40,'P&amp;L by fund - QTD'!$41:$41,'P&amp;L by fund - QTD'!$42:$42,'P&amp;L by fund - QTD'!$43:$43,'P&amp;L by fund - QTD'!$44:$44,'P&amp;L by fund - QTD'!$45:$45,'P&amp;L by fund - QTD'!$46:$46,'P&amp;L by fund - QTD'!$47:$47,'P&amp;L by fund - QTD'!$48:$48,'P&amp;L by fund - QTD'!$49:$49,'P&amp;L by fund - QTD'!$50:$50,'P&amp;L by fund - QTD'!$51:$51,'P&amp;L by fund - QTD'!$54:$54,'P&amp;L by fund - QTD'!$55:$55,'P&amp;L by fund - QTD'!$56:$56,'P&amp;L by fund - QTD'!$57:$57</definedName>
    <definedName name="QB_DATA_2" localSheetId="3" hidden="1">'P&amp;L by fund - YTD'!$42:$42,'P&amp;L by fund - YTD'!$43:$43,'P&amp;L by fund - YTD'!$44:$44,'P&amp;L by fund - YTD'!$45:$45,'P&amp;L by fund - YTD'!$46:$46,'P&amp;L by fund - YTD'!$47:$47,'P&amp;L by fund - YTD'!$48:$48,'P&amp;L by fund - YTD'!$49:$49,'P&amp;L by fund - YTD'!$50:$50,'P&amp;L by fund - YTD'!$51:$51,'P&amp;L by fund - YTD'!$52:$52,'P&amp;L by fund - YTD'!$53:$53,'P&amp;L by fund - YTD'!$54:$54,'P&amp;L by fund - YTD'!$55:$55,'P&amp;L by fund - YTD'!$56:$56,'P&amp;L by fund - YTD'!$57:$57</definedName>
    <definedName name="QB_DATA_3" localSheetId="4" hidden="1">'Budget V Actual - YTD'!$59:$59,'Budget V Actual - YTD'!$60:$60,'Budget V Actual - YTD'!$61:$61,'Budget V Actual - YTD'!$62:$62,'Budget V Actual - YTD'!$63:$63,'Budget V Actual - YTD'!$64:$64,'Budget V Actual - YTD'!$65:$65,'Budget V Actual - YTD'!$66:$66,'Budget V Actual - YTD'!$67:$67,'Budget V Actual - YTD'!$68:$68,'Budget V Actual - YTD'!$69:$69,'Budget V Actual - YTD'!$70:$70,'Budget V Actual - YTD'!$71:$71,'Budget V Actual - YTD'!$72:$72,'Budget V Actual - YTD'!$75:$75,'Budget V Actual - YTD'!$78:$78</definedName>
    <definedName name="QB_DATA_3" localSheetId="1" hidden="1">'P&amp;L'!$59:$59,'P&amp;L'!$60:$60,'P&amp;L'!$61:$61,'P&amp;L'!$62:$62,'P&amp;L'!$63:$63,'P&amp;L'!$64:$64,'P&amp;L'!$65:$65,'P&amp;L'!$66:$66,'P&amp;L'!$67:$67,'P&amp;L'!$70:$70,'P&amp;L'!$73:$73,'P&amp;L'!$74:$74,'P&amp;L'!$75:$75,'P&amp;L'!$76:$76,'P&amp;L'!$77:$77,'P&amp;L'!$78:$78</definedName>
    <definedName name="QB_DATA_3" localSheetId="2" hidden="1">'P&amp;L by fund - QTD'!$58:$58,'P&amp;L by fund - QTD'!$59:$59,'P&amp;L by fund - QTD'!$60:$60,'P&amp;L by fund - QTD'!$63:$63,'P&amp;L by fund - QTD'!$66:$66,'P&amp;L by fund - QTD'!$67:$67,'P&amp;L by fund - QTD'!$68:$68,'P&amp;L by fund - QTD'!$69:$69,'P&amp;L by fund - QTD'!$70:$70,'P&amp;L by fund - QTD'!$73:$73,'P&amp;L by fund - QTD'!$76:$76,'P&amp;L by fund - QTD'!$77:$77,'P&amp;L by fund - QTD'!$78:$78,'P&amp;L by fund - QTD'!$81:$81,'P&amp;L by fund - QTD'!$82:$82,'P&amp;L by fund - QTD'!$85:$85</definedName>
    <definedName name="QB_DATA_3" localSheetId="3" hidden="1">'P&amp;L by fund - YTD'!$58:$58,'P&amp;L by fund - YTD'!$59:$59,'P&amp;L by fund - YTD'!$60:$60,'P&amp;L by fund - YTD'!$61:$61,'P&amp;L by fund - YTD'!$62:$62,'P&amp;L by fund - YTD'!$63:$63,'P&amp;L by fund - YTD'!$64:$64,'P&amp;L by fund - YTD'!$65:$65,'P&amp;L by fund - YTD'!$66:$66,'P&amp;L by fund - YTD'!$69:$69,'P&amp;L by fund - YTD'!$72:$72,'P&amp;L by fund - YTD'!$73:$73,'P&amp;L by fund - YTD'!$74:$74,'P&amp;L by fund - YTD'!$75:$75,'P&amp;L by fund - YTD'!$76:$76,'P&amp;L by fund - YTD'!$77:$77</definedName>
    <definedName name="QB_DATA_4" localSheetId="4" hidden="1">'Budget V Actual - YTD'!$79:$79,'Budget V Actual - YTD'!$80:$80,'Budget V Actual - YTD'!$81:$81,'Budget V Actual - YTD'!$82:$82,'Budget V Actual - YTD'!$83:$83,'Budget V Actual - YTD'!$84:$84,'Budget V Actual - YTD'!$85:$85,'Budget V Actual - YTD'!$86:$86,'Budget V Actual - YTD'!$89:$89,'Budget V Actual - YTD'!$92:$92,'Budget V Actual - YTD'!$93:$93,'Budget V Actual - YTD'!$94:$94,'Budget V Actual - YTD'!$95:$95,'Budget V Actual - YTD'!$96:$96,'Budget V Actual - YTD'!$97:$97,'Budget V Actual - YTD'!$98:$98</definedName>
    <definedName name="QB_DATA_4" localSheetId="1" hidden="1">'P&amp;L'!$79:$79,'P&amp;L'!$80:$80,'P&amp;L'!$81:$81,'P&amp;L'!$84:$84,'P&amp;L'!$87:$87,'P&amp;L'!$88:$88,'P&amp;L'!$89:$89,'P&amp;L'!$90:$90,'P&amp;L'!$91:$91,'P&amp;L'!$92:$92,'P&amp;L'!$93:$93,'P&amp;L'!$96:$96,'P&amp;L'!$97:$97,'P&amp;L'!$100:$100,'P&amp;L'!$101:$101,'P&amp;L'!$102:$102</definedName>
    <definedName name="QB_DATA_4" localSheetId="2" hidden="1">'P&amp;L by fund - QTD'!$86:$86,'P&amp;L by fund - QTD'!$87:$87,'P&amp;L by fund - QTD'!$88:$88,'P&amp;L by fund - QTD'!$89:$89,'P&amp;L by fund - QTD'!$90:$90,'P&amp;L by fund - QTD'!$91:$91,'P&amp;L by fund - QTD'!$92:$92,'P&amp;L by fund - QTD'!$93:$93,'P&amp;L by fund - QTD'!$94:$94,'P&amp;L by fund - QTD'!$95:$95,'P&amp;L by fund - QTD'!$98:$98,'P&amp;L by fund - QTD'!$99:$99,'P&amp;L by fund - QTD'!$100:$100,'P&amp;L by fund - QTD'!$101:$101,'P&amp;L by fund - QTD'!$104:$104,'P&amp;L by fund - QTD'!$107:$107</definedName>
    <definedName name="QB_DATA_4" localSheetId="3" hidden="1">'P&amp;L by fund - YTD'!$78:$78,'P&amp;L by fund - YTD'!$79:$79,'P&amp;L by fund - YTD'!$80:$80,'P&amp;L by fund - YTD'!$83:$83,'P&amp;L by fund - YTD'!$86:$86,'P&amp;L by fund - YTD'!$87:$87,'P&amp;L by fund - YTD'!$88:$88,'P&amp;L by fund - YTD'!$89:$89,'P&amp;L by fund - YTD'!$90:$90,'P&amp;L by fund - YTD'!$91:$91,'P&amp;L by fund - YTD'!$92:$92,'P&amp;L by fund - YTD'!$95:$95,'P&amp;L by fund - YTD'!$96:$96,'P&amp;L by fund - YTD'!$99:$99,'P&amp;L by fund - YTD'!$100:$100,'P&amp;L by fund - YTD'!$101:$101</definedName>
    <definedName name="QB_DATA_5" localSheetId="4" hidden="1">'Budget V Actual - YTD'!$101:$101,'Budget V Actual - YTD'!$102:$102,'Budget V Actual - YTD'!$105:$105,'Budget V Actual - YTD'!$106:$106,'Budget V Actual - YTD'!$107:$107,'Budget V Actual - YTD'!$108:$108,'Budget V Actual - YTD'!$111:$111,'Budget V Actual - YTD'!$112:$112,'Budget V Actual - YTD'!$113:$113,'Budget V Actual - YTD'!$114:$114,'Budget V Actual - YTD'!$115:$115,'Budget V Actual - YTD'!$118:$118,'Budget V Actual - YTD'!$121:$121,'Budget V Actual - YTD'!$124:$124,'Budget V Actual - YTD'!$125:$125,'Budget V Actual - YTD'!$126:$126</definedName>
    <definedName name="QB_DATA_5" localSheetId="1" hidden="1">'P&amp;L'!$103:$103,'P&amp;L'!$106:$106,'P&amp;L'!$107:$107,'P&amp;L'!$108:$108,'P&amp;L'!$109:$109,'P&amp;L'!$110:$110,'P&amp;L'!$113:$113,'P&amp;L'!$114:$114,'P&amp;L'!$117:$117,'P&amp;L'!$118:$118,'P&amp;L'!$119:$119,'P&amp;L'!$120:$120,'P&amp;L'!$121:$121,'P&amp;L'!$122:$122,'P&amp;L'!$123:$123,'P&amp;L'!$124:$124</definedName>
    <definedName name="QB_DATA_5" localSheetId="2" hidden="1">'P&amp;L by fund - QTD'!$110:$110,'P&amp;L by fund - QTD'!$113:$113,'P&amp;L by fund - QTD'!$116:$116,'P&amp;L by fund - QTD'!$119:$119,'P&amp;L by fund - QTD'!$120:$120,'P&amp;L by fund - QTD'!$121:$121,'P&amp;L by fund - QTD'!$124:$124,'P&amp;L by fund - QTD'!$125:$125,'P&amp;L by fund - QTD'!$126:$126,'P&amp;L by fund - QTD'!$127:$127,'P&amp;L by fund - QTD'!$128:$128,'P&amp;L by fund - QTD'!$129:$129,'P&amp;L by fund - QTD'!$130:$130,'P&amp;L by fund - QTD'!$131:$131,'P&amp;L by fund - QTD'!$132:$132,'P&amp;L by fund - QTD'!$133:$133</definedName>
    <definedName name="QB_DATA_5" localSheetId="3" hidden="1">'P&amp;L by fund - YTD'!$102:$102,'P&amp;L by fund - YTD'!$105:$105,'P&amp;L by fund - YTD'!$106:$106,'P&amp;L by fund - YTD'!$107:$107,'P&amp;L by fund - YTD'!$108:$108,'P&amp;L by fund - YTD'!$109:$109,'P&amp;L by fund - YTD'!$112:$112,'P&amp;L by fund - YTD'!$113:$113,'P&amp;L by fund - YTD'!$116:$116,'P&amp;L by fund - YTD'!$117:$117,'P&amp;L by fund - YTD'!$118:$118,'P&amp;L by fund - YTD'!$119:$119,'P&amp;L by fund - YTD'!$120:$120,'P&amp;L by fund - YTD'!$121:$121,'P&amp;L by fund - YTD'!$122:$122,'P&amp;L by fund - YTD'!$123:$123</definedName>
    <definedName name="QB_DATA_6" localSheetId="4" hidden="1">'Budget V Actual - YTD'!$129:$129,'Budget V Actual - YTD'!$130:$130,'Budget V Actual - YTD'!$131:$131,'Budget V Actual - YTD'!$132:$132,'Budget V Actual - YTD'!$133:$133,'Budget V Actual - YTD'!$134:$134,'Budget V Actual - YTD'!$135:$135,'Budget V Actual - YTD'!$136:$136,'Budget V Actual - YTD'!$137:$137,'Budget V Actual - YTD'!$138:$138,'Budget V Actual - YTD'!$139:$139,'Budget V Actual - YTD'!$140:$140,'Budget V Actual - YTD'!$141:$141,'Budget V Actual - YTD'!$142:$142,'Budget V Actual - YTD'!$145:$145,'Budget V Actual - YTD'!$146:$146</definedName>
    <definedName name="QB_DATA_6" localSheetId="1" hidden="1">'P&amp;L'!$125:$125,'P&amp;L'!$126:$126,'P&amp;L'!$127:$127,'P&amp;L'!$128:$128,'P&amp;L'!$129:$129,'P&amp;L'!$130:$130,'P&amp;L'!$133:$133,'P&amp;L'!$134:$134,'P&amp;L'!$135:$135,'P&amp;L'!$136:$136,'P&amp;L'!$137:$137,'P&amp;L'!$138:$138,'P&amp;L'!$141:$141,'P&amp;L'!$144:$144,'P&amp;L'!$147:$147,'P&amp;L'!$148:$148</definedName>
    <definedName name="QB_DATA_6" localSheetId="2" hidden="1">'P&amp;L by fund - QTD'!$134:$134,'P&amp;L by fund - QTD'!$135:$135,'P&amp;L by fund - QTD'!$138:$138,'P&amp;L by fund - QTD'!$141:$141,'P&amp;L by fund - QTD'!$144:$144,'P&amp;L by fund - QTD'!$147:$147,'P&amp;L by fund - QTD'!$150:$150,'P&amp;L by fund - QTD'!$153:$153,'P&amp;L by fund - QTD'!$154:$154,'P&amp;L by fund - QTD'!$155:$155,'P&amp;L by fund - QTD'!$156:$156,'P&amp;L by fund - QTD'!$157:$157,'P&amp;L by fund - QTD'!$158:$158,'P&amp;L by fund - QTD'!$161:$161,'P&amp;L by fund - QTD'!$162:$162,'P&amp;L by fund - QTD'!$163:$163</definedName>
    <definedName name="QB_DATA_6" localSheetId="3" hidden="1">'P&amp;L by fund - YTD'!$124:$124,'P&amp;L by fund - YTD'!$125:$125,'P&amp;L by fund - YTD'!$126:$126,'P&amp;L by fund - YTD'!$127:$127,'P&amp;L by fund - YTD'!$128:$128,'P&amp;L by fund - YTD'!$129:$129,'P&amp;L by fund - YTD'!$132:$132,'P&amp;L by fund - YTD'!$133:$133,'P&amp;L by fund - YTD'!$134:$134,'P&amp;L by fund - YTD'!$135:$135,'P&amp;L by fund - YTD'!$136:$136,'P&amp;L by fund - YTD'!$137:$137,'P&amp;L by fund - YTD'!$140:$140,'P&amp;L by fund - YTD'!$143:$143,'P&amp;L by fund - YTD'!$146:$146,'P&amp;L by fund - YTD'!$147:$147</definedName>
    <definedName name="QB_DATA_7" localSheetId="4" hidden="1">'Budget V Actual - YTD'!$147:$147,'Budget V Actual - YTD'!$148:$148,'Budget V Actual - YTD'!$149:$149,'Budget V Actual - YTD'!$150:$150,'Budget V Actual - YTD'!$151:$151,'Budget V Actual - YTD'!$152:$152,'Budget V Actual - YTD'!$155:$155,'Budget V Actual - YTD'!$158:$158,'Budget V Actual - YTD'!$161:$161,'Budget V Actual - YTD'!$162:$162,'Budget V Actual - YTD'!$165:$165,'Budget V Actual - YTD'!$168:$168,'Budget V Actual - YTD'!$169:$169,'Budget V Actual - YTD'!$170:$170,'Budget V Actual - YTD'!$171:$171,'Budget V Actual - YTD'!$174:$174</definedName>
    <definedName name="QB_DATA_7" localSheetId="1" hidden="1">'P&amp;L'!$151:$151,'P&amp;L'!$154:$154,'P&amp;L'!$157:$157,'P&amp;L'!$158:$158,'P&amp;L'!$159:$159,'P&amp;L'!$160:$160,'P&amp;L'!$163:$163,'P&amp;L'!$164:$164,'P&amp;L'!$165:$165,'P&amp;L'!$166:$166,'P&amp;L'!$167:$167,'P&amp;L'!$168:$168,'P&amp;L'!$169:$169,'P&amp;L'!$170:$170,'P&amp;L'!$171:$171,'P&amp;L'!$172:$172</definedName>
    <definedName name="QB_DATA_7" localSheetId="2" hidden="1">'P&amp;L by fund - QTD'!$164:$164,'P&amp;L by fund - QTD'!$165:$165,'P&amp;L by fund - QTD'!$168:$168,'P&amp;L by fund - QTD'!$171:$171,'P&amp;L by fund - QTD'!$174:$174,'P&amp;L by fund - QTD'!$177:$177,'P&amp;L by fund - QTD'!$178:$178,'P&amp;L by fund - QTD'!$179:$179,'P&amp;L by fund - QTD'!$180:$180,'P&amp;L by fund - QTD'!$181:$181,'P&amp;L by fund - QTD'!$187:$187</definedName>
    <definedName name="QB_DATA_7" localSheetId="3" hidden="1">'P&amp;L by fund - YTD'!$150:$150,'P&amp;L by fund - YTD'!$153:$153,'P&amp;L by fund - YTD'!$156:$156,'P&amp;L by fund - YTD'!$157:$157,'P&amp;L by fund - YTD'!$158:$158,'P&amp;L by fund - YTD'!$159:$159,'P&amp;L by fund - YTD'!$162:$162,'P&amp;L by fund - YTD'!$163:$163,'P&amp;L by fund - YTD'!$164:$164,'P&amp;L by fund - YTD'!$165:$165,'P&amp;L by fund - YTD'!$166:$166,'P&amp;L by fund - YTD'!$167:$167,'P&amp;L by fund - YTD'!$168:$168,'P&amp;L by fund - YTD'!$169:$169,'P&amp;L by fund - YTD'!$170:$170,'P&amp;L by fund - YTD'!$171:$171</definedName>
    <definedName name="QB_DATA_8" localSheetId="4" hidden="1">'Budget V Actual - YTD'!$175:$175,'Budget V Actual - YTD'!$176:$176,'Budget V Actual - YTD'!$177:$177,'Budget V Actual - YTD'!$178:$178,'Budget V Actual - YTD'!$179:$179,'Budget V Actual - YTD'!$180:$180,'Budget V Actual - YTD'!$181:$181,'Budget V Actual - YTD'!$182:$182,'Budget V Actual - YTD'!$183:$183,'Budget V Actual - YTD'!$184:$184,'Budget V Actual - YTD'!$185:$185,'Budget V Actual - YTD'!$186:$186,'Budget V Actual - YTD'!$187:$187,'Budget V Actual - YTD'!$190:$190,'Budget V Actual - YTD'!$193:$193,'Budget V Actual - YTD'!$194:$194</definedName>
    <definedName name="QB_DATA_8" localSheetId="1" hidden="1">'P&amp;L'!$173:$173,'P&amp;L'!$174:$174,'P&amp;L'!$175:$175,'P&amp;L'!$176:$176,'P&amp;L'!$179:$179,'P&amp;L'!$182:$182,'P&amp;L'!$183:$183,'P&amp;L'!$186:$186,'P&amp;L'!$189:$189,'P&amp;L'!$190:$190,'P&amp;L'!$191:$191,'P&amp;L'!$192:$192,'P&amp;L'!$193:$193,'P&amp;L'!$196:$196,'P&amp;L'!$199:$199,'P&amp;L'!$200:$200</definedName>
    <definedName name="QB_DATA_8" localSheetId="3" hidden="1">'P&amp;L by fund - YTD'!$172:$172,'P&amp;L by fund - YTD'!$173:$173,'P&amp;L by fund - YTD'!$174:$174,'P&amp;L by fund - YTD'!$175:$175,'P&amp;L by fund - YTD'!$178:$178,'P&amp;L by fund - YTD'!$181:$181,'P&amp;L by fund - YTD'!$182:$182,'P&amp;L by fund - YTD'!$185:$185,'P&amp;L by fund - YTD'!$188:$188,'P&amp;L by fund - YTD'!$189:$189,'P&amp;L by fund - YTD'!$190:$190,'P&amp;L by fund - YTD'!$191:$191,'P&amp;L by fund - YTD'!$192:$192,'P&amp;L by fund - YTD'!$195:$195,'P&amp;L by fund - YTD'!$198:$198,'P&amp;L by fund - YTD'!$199:$199</definedName>
    <definedName name="QB_DATA_9" localSheetId="4" hidden="1">'Budget V Actual - YTD'!$197:$197,'Budget V Actual - YTD'!$200:$200,'Budget V Actual - YTD'!$201:$201,'Budget V Actual - YTD'!$202:$202,'Budget V Actual - YTD'!$203:$203,'Budget V Actual - YTD'!$204:$204,'Budget V Actual - YTD'!$207:$207,'Budget V Actual - YTD'!$210:$210,'Budget V Actual - YTD'!$211:$211,'Budget V Actual - YTD'!$212:$212,'Budget V Actual - YTD'!$213:$213,'Budget V Actual - YTD'!$214:$214,'Budget V Actual - YTD'!$215:$215,'Budget V Actual - YTD'!$216:$216,'Budget V Actual - YTD'!$217:$217,'Budget V Actual - YTD'!$218:$218</definedName>
    <definedName name="QB_DATA_9" localSheetId="1" hidden="1">'P&amp;L'!$201:$201,'P&amp;L'!$202:$202,'P&amp;L'!$203:$203,'P&amp;L'!$204:$204,'P&amp;L'!$205:$205,'P&amp;L'!$206:$206,'P&amp;L'!$207:$207,'P&amp;L'!$210:$210,'P&amp;L'!$211:$211,'P&amp;L'!$212:$212,'P&amp;L'!$213:$213,'P&amp;L'!$214:$214,'P&amp;L'!$215:$215,'P&amp;L'!$216:$216,'P&amp;L'!$217:$217,'P&amp;L'!$220:$220</definedName>
    <definedName name="QB_DATA_9" localSheetId="3" hidden="1">'P&amp;L by fund - YTD'!$200:$200,'P&amp;L by fund - YTD'!$201:$201,'P&amp;L by fund - YTD'!$202:$202,'P&amp;L by fund - YTD'!$203:$203,'P&amp;L by fund - YTD'!$204:$204,'P&amp;L by fund - YTD'!$205:$205,'P&amp;L by fund - YTD'!$206:$206,'P&amp;L by fund - YTD'!$209:$209,'P&amp;L by fund - YTD'!$210:$210,'P&amp;L by fund - YTD'!$211:$211,'P&amp;L by fund - YTD'!$212:$212,'P&amp;L by fund - YTD'!$213:$213,'P&amp;L by fund - YTD'!$214:$214,'P&amp;L by fund - YTD'!$215:$215,'P&amp;L by fund - YTD'!$216:$216,'P&amp;L by fund - YTD'!$219:$219</definedName>
    <definedName name="QB_FORMULA_0" localSheetId="0" hidden="1">'Balance Sheet'!$F$29,'Balance Sheet'!$F$32,'Balance Sheet'!$F$35,'Balance Sheet'!$F$38,'Balance Sheet'!$F$39,'Balance Sheet'!$F$42,'Balance Sheet'!$F$46,'Balance Sheet'!$F$47,'Balance Sheet'!$F$52,'Balance Sheet'!$F$56,'Balance Sheet'!$F$58,'Balance Sheet'!$F$59,'Balance Sheet'!$F$65,'Balance Sheet'!$F$70,'Balance Sheet'!$F$71,'Balance Sheet'!$F$75</definedName>
    <definedName name="QB_FORMULA_0" localSheetId="4" hidden="1">'Budget V Actual - YTD'!$K$5,'Budget V Actual - YTD'!$M$5,'Budget V Actual - YTD'!$K$6,'Budget V Actual - YTD'!$M$6,'Budget V Actual - YTD'!$K$7,'Budget V Actual - YTD'!$M$7,'Budget V Actual - YTD'!$K$8,'Budget V Actual - YTD'!$M$8,'Budget V Actual - YTD'!$K$9,'Budget V Actual - YTD'!$M$9,'Budget V Actual - YTD'!$K$10,'Budget V Actual - YTD'!$M$10,'Budget V Actual - YTD'!$K$11,'Budget V Actual - YTD'!$M$11,'Budget V Actual - YTD'!$K$12,'Budget V Actual - YTD'!$M$12</definedName>
    <definedName name="QB_FORMULA_0" localSheetId="1" hidden="1">'P&amp;L'!$G$28,'P&amp;L'!$I$28,'P&amp;L'!$G$32,'P&amp;L'!$I$32,'P&amp;L'!$G$33,'P&amp;L'!$I$33,'P&amp;L'!$G$68,'P&amp;L'!$I$68,'P&amp;L'!$G$71,'P&amp;L'!$I$71,'P&amp;L'!$G$82,'P&amp;L'!$I$82,'P&amp;L'!$G$85,'P&amp;L'!$I$85,'P&amp;L'!$G$94,'P&amp;L'!$I$94</definedName>
    <definedName name="QB_FORMULA_0" localSheetId="2" hidden="1">'P&amp;L by fund - QTD'!$AW$4,'P&amp;L by fund - QTD'!$AW$5,'P&amp;L by fund - QTD'!$AW$6,'P&amp;L by fund - QTD'!$AW$7,'P&amp;L by fund - QTD'!$AW$8,'P&amp;L by fund - QTD'!$AW$9,'P&amp;L by fund - QTD'!$AW$10,'P&amp;L by fund - QTD'!$AW$11,'P&amp;L by fund - QTD'!$AW$12,'P&amp;L by fund - QTD'!$AW$13,'P&amp;L by fund - QTD'!$AW$14,'P&amp;L by fund - QTD'!$AW$15,'P&amp;L by fund - QTD'!$AW$16,'P&amp;L by fund - QTD'!$AW$17,'P&amp;L by fund - QTD'!$AW$18,'P&amp;L by fund - QTD'!$AW$19</definedName>
    <definedName name="QB_FORMULA_0" localSheetId="3" hidden="1">'P&amp;L by fund - YTD'!$BQ$4,'P&amp;L by fund - YTD'!$BQ$5,'P&amp;L by fund - YTD'!$BQ$6,'P&amp;L by fund - YTD'!$BQ$7,'P&amp;L by fund - YTD'!$BQ$8,'P&amp;L by fund - YTD'!$BQ$9,'P&amp;L by fund - YTD'!$BQ$10,'P&amp;L by fund - YTD'!$BQ$11,'P&amp;L by fund - YTD'!$BQ$12,'P&amp;L by fund - YTD'!$BQ$13,'P&amp;L by fund - YTD'!$BQ$14,'P&amp;L by fund - YTD'!$BQ$15,'P&amp;L by fund - YTD'!$BQ$16,'P&amp;L by fund - YTD'!$BQ$17,'P&amp;L by fund - YTD'!$BQ$18,'P&amp;L by fund - YTD'!$BQ$19</definedName>
    <definedName name="QB_FORMULA_1" localSheetId="0" hidden="1">'Balance Sheet'!$F$76,'Balance Sheet'!$F$77,'Balance Sheet'!$F$83,'Balance Sheet'!$F$84</definedName>
    <definedName name="QB_FORMULA_1" localSheetId="4" hidden="1">'Budget V Actual - YTD'!$K$13,'Budget V Actual - YTD'!$M$13,'Budget V Actual - YTD'!$K$14,'Budget V Actual - YTD'!$M$14,'Budget V Actual - YTD'!$K$15,'Budget V Actual - YTD'!$M$15,'Budget V Actual - YTD'!$K$16,'Budget V Actual - YTD'!$M$16,'Budget V Actual - YTD'!$K$17,'Budget V Actual - YTD'!$M$17,'Budget V Actual - YTD'!$K$18,'Budget V Actual - YTD'!$M$18,'Budget V Actual - YTD'!$K$19,'Budget V Actual - YTD'!$M$19,'Budget V Actual - YTD'!$K$20,'Budget V Actual - YTD'!$M$20</definedName>
    <definedName name="QB_FORMULA_1" localSheetId="1" hidden="1">'P&amp;L'!$G$98,'P&amp;L'!$I$98,'P&amp;L'!$G$104,'P&amp;L'!$I$104,'P&amp;L'!$G$111,'P&amp;L'!$I$111,'P&amp;L'!$G$115,'P&amp;L'!$I$115,'P&amp;L'!$G$131,'P&amp;L'!$I$131,'P&amp;L'!$G$139,'P&amp;L'!$I$139,'P&amp;L'!$G$142,'P&amp;L'!$I$142,'P&amp;L'!$G$145,'P&amp;L'!$I$145</definedName>
    <definedName name="QB_FORMULA_1" localSheetId="2" hidden="1">'P&amp;L by fund - QTD'!$AW$20,'P&amp;L by fund - QTD'!$G$21,'P&amp;L by fund - QTD'!$I$21,'P&amp;L by fund - QTD'!$K$21,'P&amp;L by fund - QTD'!$M$21,'P&amp;L by fund - QTD'!$O$21,'P&amp;L by fund - QTD'!$Q$21,'P&amp;L by fund - QTD'!$S$21,'P&amp;L by fund - QTD'!$U$21,'P&amp;L by fund - QTD'!$W$21,'P&amp;L by fund - QTD'!$Y$21,'P&amp;L by fund - QTD'!$AA$21,'P&amp;L by fund - QTD'!$AC$21,'P&amp;L by fund - QTD'!$AE$21,'P&amp;L by fund - QTD'!$AG$21,'P&amp;L by fund - QTD'!$AI$21</definedName>
    <definedName name="QB_FORMULA_1" localSheetId="3" hidden="1">'P&amp;L by fund - YTD'!$BQ$20,'P&amp;L by fund - YTD'!$BQ$21,'P&amp;L by fund - YTD'!$BQ$22,'P&amp;L by fund - YTD'!$BQ$23,'P&amp;L by fund - YTD'!$BQ$24,'P&amp;L by fund - YTD'!$BQ$26,'P&amp;L by fund - YTD'!$G$27,'P&amp;L by fund - YTD'!$I$27,'P&amp;L by fund - YTD'!$K$27,'P&amp;L by fund - YTD'!$M$27,'P&amp;L by fund - YTD'!$O$27,'P&amp;L by fund - YTD'!$Q$27,'P&amp;L by fund - YTD'!$S$27,'P&amp;L by fund - YTD'!$U$27,'P&amp;L by fund - YTD'!$W$27,'P&amp;L by fund - YTD'!$Y$27</definedName>
    <definedName name="QB_FORMULA_10" localSheetId="4" hidden="1">'Budget V Actual - YTD'!$K$85,'Budget V Actual - YTD'!$M$85,'Budget V Actual - YTD'!$K$86,'Budget V Actual - YTD'!$M$86,'Budget V Actual - YTD'!$G$87,'Budget V Actual - YTD'!$I$87,'Budget V Actual - YTD'!$K$87,'Budget V Actual - YTD'!$M$87,'Budget V Actual - YTD'!$K$89,'Budget V Actual - YTD'!$M$89,'Budget V Actual - YTD'!$G$90,'Budget V Actual - YTD'!$I$90,'Budget V Actual - YTD'!$K$90,'Budget V Actual - YTD'!$M$90,'Budget V Actual - YTD'!$K$92,'Budget V Actual - YTD'!$M$92</definedName>
    <definedName name="QB_FORMULA_10" localSheetId="2" hidden="1">'P&amp;L by fund - QTD'!$AU$64,'P&amp;L by fund - QTD'!$AW$64,'P&amp;L by fund - QTD'!$AW$66,'P&amp;L by fund - QTD'!$AW$67,'P&amp;L by fund - QTD'!$AW$68,'P&amp;L by fund - QTD'!$AW$69,'P&amp;L by fund - QTD'!$AW$70,'P&amp;L by fund - QTD'!$G$71,'P&amp;L by fund - QTD'!$I$71,'P&amp;L by fund - QTD'!$K$71,'P&amp;L by fund - QTD'!$M$71,'P&amp;L by fund - QTD'!$O$71,'P&amp;L by fund - QTD'!$Q$71,'P&amp;L by fund - QTD'!$S$71,'P&amp;L by fund - QTD'!$U$71,'P&amp;L by fund - QTD'!$W$71</definedName>
    <definedName name="QB_FORMULA_10" localSheetId="3" hidden="1">'P&amp;L by fund - YTD'!$U$67,'P&amp;L by fund - YTD'!$W$67,'P&amp;L by fund - YTD'!$Y$67,'P&amp;L by fund - YTD'!$AA$67,'P&amp;L by fund - YTD'!$AC$67,'P&amp;L by fund - YTD'!$AE$67,'P&amp;L by fund - YTD'!$AG$67,'P&amp;L by fund - YTD'!$AI$67,'P&amp;L by fund - YTD'!$AK$67,'P&amp;L by fund - YTD'!$AM$67,'P&amp;L by fund - YTD'!$AO$67,'P&amp;L by fund - YTD'!$AQ$67,'P&amp;L by fund - YTD'!$AS$67,'P&amp;L by fund - YTD'!$AU$67,'P&amp;L by fund - YTD'!$AW$67,'P&amp;L by fund - YTD'!$AY$67</definedName>
    <definedName name="QB_FORMULA_11" localSheetId="4" hidden="1">'Budget V Actual - YTD'!$K$93,'Budget V Actual - YTD'!$M$93,'Budget V Actual - YTD'!$K$94,'Budget V Actual - YTD'!$M$94,'Budget V Actual - YTD'!$K$95,'Budget V Actual - YTD'!$M$95,'Budget V Actual - YTD'!$K$96,'Budget V Actual - YTD'!$M$96,'Budget V Actual - YTD'!$K$97,'Budget V Actual - YTD'!$M$97,'Budget V Actual - YTD'!$K$98,'Budget V Actual - YTD'!$M$98,'Budget V Actual - YTD'!$G$99,'Budget V Actual - YTD'!$I$99,'Budget V Actual - YTD'!$K$99,'Budget V Actual - YTD'!$M$99</definedName>
    <definedName name="QB_FORMULA_11" localSheetId="2" hidden="1">'P&amp;L by fund - QTD'!$Y$71,'P&amp;L by fund - QTD'!$AA$71,'P&amp;L by fund - QTD'!$AC$71,'P&amp;L by fund - QTD'!$AE$71,'P&amp;L by fund - QTD'!$AG$71,'P&amp;L by fund - QTD'!$AI$71,'P&amp;L by fund - QTD'!$AK$71,'P&amp;L by fund - QTD'!$AM$71,'P&amp;L by fund - QTD'!$AO$71,'P&amp;L by fund - QTD'!$AQ$71,'P&amp;L by fund - QTD'!$AS$71,'P&amp;L by fund - QTD'!$AU$71,'P&amp;L by fund - QTD'!$AW$71,'P&amp;L by fund - QTD'!$AW$73,'P&amp;L by fund - QTD'!$G$74,'P&amp;L by fund - QTD'!$I$74</definedName>
    <definedName name="QB_FORMULA_11" localSheetId="3" hidden="1">'P&amp;L by fund - YTD'!$BA$67,'P&amp;L by fund - YTD'!$BC$67,'P&amp;L by fund - YTD'!$BE$67,'P&amp;L by fund - YTD'!$BG$67,'P&amp;L by fund - YTD'!$BI$67,'P&amp;L by fund - YTD'!$BK$67,'P&amp;L by fund - YTD'!$BM$67,'P&amp;L by fund - YTD'!$BO$67,'P&amp;L by fund - YTD'!$BQ$67,'P&amp;L by fund - YTD'!$BQ$69,'P&amp;L by fund - YTD'!$G$70,'P&amp;L by fund - YTD'!$I$70,'P&amp;L by fund - YTD'!$K$70,'P&amp;L by fund - YTD'!$M$70,'P&amp;L by fund - YTD'!$O$70,'P&amp;L by fund - YTD'!$Q$70</definedName>
    <definedName name="QB_FORMULA_12" localSheetId="4" hidden="1">'Budget V Actual - YTD'!$K$101,'Budget V Actual - YTD'!$M$101,'Budget V Actual - YTD'!$K$102,'Budget V Actual - YTD'!$M$102,'Budget V Actual - YTD'!$G$103,'Budget V Actual - YTD'!$I$103,'Budget V Actual - YTD'!$K$103,'Budget V Actual - YTD'!$M$103,'Budget V Actual - YTD'!$K$105,'Budget V Actual - YTD'!$M$105,'Budget V Actual - YTD'!$K$106,'Budget V Actual - YTD'!$M$106,'Budget V Actual - YTD'!$K$107,'Budget V Actual - YTD'!$M$107,'Budget V Actual - YTD'!$K$108,'Budget V Actual - YTD'!$M$108</definedName>
    <definedName name="QB_FORMULA_12" localSheetId="2" hidden="1">'P&amp;L by fund - QTD'!$K$74,'P&amp;L by fund - QTD'!$M$74,'P&amp;L by fund - QTD'!$O$74,'P&amp;L by fund - QTD'!$Q$74,'P&amp;L by fund - QTD'!$S$74,'P&amp;L by fund - QTD'!$U$74,'P&amp;L by fund - QTD'!$W$74,'P&amp;L by fund - QTD'!$Y$74,'P&amp;L by fund - QTD'!$AA$74,'P&amp;L by fund - QTD'!$AC$74,'P&amp;L by fund - QTD'!$AE$74,'P&amp;L by fund - QTD'!$AG$74,'P&amp;L by fund - QTD'!$AI$74,'P&amp;L by fund - QTD'!$AK$74,'P&amp;L by fund - QTD'!$AM$74,'P&amp;L by fund - QTD'!$AO$74</definedName>
    <definedName name="QB_FORMULA_12" localSheetId="3" hidden="1">'P&amp;L by fund - YTD'!$S$70,'P&amp;L by fund - YTD'!$U$70,'P&amp;L by fund - YTD'!$W$70,'P&amp;L by fund - YTD'!$Y$70,'P&amp;L by fund - YTD'!$AA$70,'P&amp;L by fund - YTD'!$AC$70,'P&amp;L by fund - YTD'!$AE$70,'P&amp;L by fund - YTD'!$AG$70,'P&amp;L by fund - YTD'!$AI$70,'P&amp;L by fund - YTD'!$AK$70,'P&amp;L by fund - YTD'!$AM$70,'P&amp;L by fund - YTD'!$AO$70,'P&amp;L by fund - YTD'!$AQ$70,'P&amp;L by fund - YTD'!$AS$70,'P&amp;L by fund - YTD'!$AU$70,'P&amp;L by fund - YTD'!$AW$70</definedName>
    <definedName name="QB_FORMULA_13" localSheetId="4" hidden="1">'Budget V Actual - YTD'!$G$109,'Budget V Actual - YTD'!$I$109,'Budget V Actual - YTD'!$K$109,'Budget V Actual - YTD'!$M$109,'Budget V Actual - YTD'!$K$111,'Budget V Actual - YTD'!$M$111,'Budget V Actual - YTD'!$K$112,'Budget V Actual - YTD'!$M$112,'Budget V Actual - YTD'!$K$113,'Budget V Actual - YTD'!$M$113,'Budget V Actual - YTD'!$K$114,'Budget V Actual - YTD'!$M$114,'Budget V Actual - YTD'!$K$115,'Budget V Actual - YTD'!$M$115,'Budget V Actual - YTD'!$G$116,'Budget V Actual - YTD'!$I$116</definedName>
    <definedName name="QB_FORMULA_13" localSheetId="2" hidden="1">'P&amp;L by fund - QTD'!$AQ$74,'P&amp;L by fund - QTD'!$AS$74,'P&amp;L by fund - QTD'!$AU$74,'P&amp;L by fund - QTD'!$AW$74,'P&amp;L by fund - QTD'!$AW$76,'P&amp;L by fund - QTD'!$AW$77,'P&amp;L by fund - QTD'!$AW$78,'P&amp;L by fund - QTD'!$G$79,'P&amp;L by fund - QTD'!$I$79,'P&amp;L by fund - QTD'!$K$79,'P&amp;L by fund - QTD'!$M$79,'P&amp;L by fund - QTD'!$O$79,'P&amp;L by fund - QTD'!$Q$79,'P&amp;L by fund - QTD'!$S$79,'P&amp;L by fund - QTD'!$U$79,'P&amp;L by fund - QTD'!$W$79</definedName>
    <definedName name="QB_FORMULA_13" localSheetId="3" hidden="1">'P&amp;L by fund - YTD'!$AY$70,'P&amp;L by fund - YTD'!$BA$70,'P&amp;L by fund - YTD'!$BC$70,'P&amp;L by fund - YTD'!$BE$70,'P&amp;L by fund - YTD'!$BG$70,'P&amp;L by fund - YTD'!$BI$70,'P&amp;L by fund - YTD'!$BK$70,'P&amp;L by fund - YTD'!$BM$70,'P&amp;L by fund - YTD'!$BO$70,'P&amp;L by fund - YTD'!$BQ$70,'P&amp;L by fund - YTD'!$BQ$72,'P&amp;L by fund - YTD'!$BQ$73,'P&amp;L by fund - YTD'!$BQ$74,'P&amp;L by fund - YTD'!$BQ$75,'P&amp;L by fund - YTD'!$BQ$76,'P&amp;L by fund - YTD'!$BQ$77</definedName>
    <definedName name="QB_FORMULA_14" localSheetId="4" hidden="1">'Budget V Actual - YTD'!$K$116,'Budget V Actual - YTD'!$M$116,'Budget V Actual - YTD'!$K$118,'Budget V Actual - YTD'!$M$118,'Budget V Actual - YTD'!$G$119,'Budget V Actual - YTD'!$I$119,'Budget V Actual - YTD'!$K$119,'Budget V Actual - YTD'!$M$119,'Budget V Actual - YTD'!$K$121,'Budget V Actual - YTD'!$M$121,'Budget V Actual - YTD'!$G$122,'Budget V Actual - YTD'!$I$122,'Budget V Actual - YTD'!$K$122,'Budget V Actual - YTD'!$M$122,'Budget V Actual - YTD'!$K$124,'Budget V Actual - YTD'!$M$124</definedName>
    <definedName name="QB_FORMULA_14" localSheetId="2" hidden="1">'P&amp;L by fund - QTD'!$Y$79,'P&amp;L by fund - QTD'!$AA$79,'P&amp;L by fund - QTD'!$AC$79,'P&amp;L by fund - QTD'!$AE$79,'P&amp;L by fund - QTD'!$AG$79,'P&amp;L by fund - QTD'!$AI$79,'P&amp;L by fund - QTD'!$AK$79,'P&amp;L by fund - QTD'!$AM$79,'P&amp;L by fund - QTD'!$AO$79,'P&amp;L by fund - QTD'!$AQ$79,'P&amp;L by fund - QTD'!$AS$79,'P&amp;L by fund - QTD'!$AU$79,'P&amp;L by fund - QTD'!$AW$79,'P&amp;L by fund - QTD'!$AW$81,'P&amp;L by fund - QTD'!$AW$82,'P&amp;L by fund - QTD'!$G$83</definedName>
    <definedName name="QB_FORMULA_14" localSheetId="3" hidden="1">'P&amp;L by fund - YTD'!$BQ$78,'P&amp;L by fund - YTD'!$BQ$79,'P&amp;L by fund - YTD'!$BQ$80,'P&amp;L by fund - YTD'!$G$81,'P&amp;L by fund - YTD'!$I$81,'P&amp;L by fund - YTD'!$K$81,'P&amp;L by fund - YTD'!$M$81,'P&amp;L by fund - YTD'!$O$81,'P&amp;L by fund - YTD'!$Q$81,'P&amp;L by fund - YTD'!$S$81,'P&amp;L by fund - YTD'!$U$81,'P&amp;L by fund - YTD'!$W$81,'P&amp;L by fund - YTD'!$Y$81,'P&amp;L by fund - YTD'!$AA$81,'P&amp;L by fund - YTD'!$AC$81,'P&amp;L by fund - YTD'!$AE$81</definedName>
    <definedName name="QB_FORMULA_15" localSheetId="4" hidden="1">'Budget V Actual - YTD'!$K$125,'Budget V Actual - YTD'!$M$125,'Budget V Actual - YTD'!$K$126,'Budget V Actual - YTD'!$M$126,'Budget V Actual - YTD'!$G$127,'Budget V Actual - YTD'!$I$127,'Budget V Actual - YTD'!$K$127,'Budget V Actual - YTD'!$M$127,'Budget V Actual - YTD'!$K$129,'Budget V Actual - YTD'!$M$129,'Budget V Actual - YTD'!$K$130,'Budget V Actual - YTD'!$M$130,'Budget V Actual - YTD'!$K$131,'Budget V Actual - YTD'!$M$131,'Budget V Actual - YTD'!$K$132,'Budget V Actual - YTD'!$M$132</definedName>
    <definedName name="QB_FORMULA_15" localSheetId="2" hidden="1">'P&amp;L by fund - QTD'!$I$83,'P&amp;L by fund - QTD'!$K$83,'P&amp;L by fund - QTD'!$M$83,'P&amp;L by fund - QTD'!$O$83,'P&amp;L by fund - QTD'!$Q$83,'P&amp;L by fund - QTD'!$S$83,'P&amp;L by fund - QTD'!$U$83,'P&amp;L by fund - QTD'!$W$83,'P&amp;L by fund - QTD'!$Y$83,'P&amp;L by fund - QTD'!$AA$83,'P&amp;L by fund - QTD'!$AC$83,'P&amp;L by fund - QTD'!$AE$83,'P&amp;L by fund - QTD'!$AG$83,'P&amp;L by fund - QTD'!$AI$83,'P&amp;L by fund - QTD'!$AK$83,'P&amp;L by fund - QTD'!$AM$83</definedName>
    <definedName name="QB_FORMULA_15" localSheetId="3" hidden="1">'P&amp;L by fund - YTD'!$AG$81,'P&amp;L by fund - YTD'!$AI$81,'P&amp;L by fund - YTD'!$AK$81,'P&amp;L by fund - YTD'!$AM$81,'P&amp;L by fund - YTD'!$AO$81,'P&amp;L by fund - YTD'!$AQ$81,'P&amp;L by fund - YTD'!$AS$81,'P&amp;L by fund - YTD'!$AU$81,'P&amp;L by fund - YTD'!$AW$81,'P&amp;L by fund - YTD'!$AY$81,'P&amp;L by fund - YTD'!$BA$81,'P&amp;L by fund - YTD'!$BC$81,'P&amp;L by fund - YTD'!$BE$81,'P&amp;L by fund - YTD'!$BG$81,'P&amp;L by fund - YTD'!$BI$81,'P&amp;L by fund - YTD'!$BK$81</definedName>
    <definedName name="QB_FORMULA_16" localSheetId="4" hidden="1">'Budget V Actual - YTD'!$K$133,'Budget V Actual - YTD'!$M$133,'Budget V Actual - YTD'!$K$134,'Budget V Actual - YTD'!$M$134,'Budget V Actual - YTD'!$K$135,'Budget V Actual - YTD'!$M$135,'Budget V Actual - YTD'!$K$136,'Budget V Actual - YTD'!$M$136,'Budget V Actual - YTD'!$K$137,'Budget V Actual - YTD'!$M$137,'Budget V Actual - YTD'!$K$138,'Budget V Actual - YTD'!$M$138,'Budget V Actual - YTD'!$K$139,'Budget V Actual - YTD'!$M$139,'Budget V Actual - YTD'!$K$140,'Budget V Actual - YTD'!$M$140</definedName>
    <definedName name="QB_FORMULA_16" localSheetId="2" hidden="1">'P&amp;L by fund - QTD'!$AO$83,'P&amp;L by fund - QTD'!$AQ$83,'P&amp;L by fund - QTD'!$AS$83,'P&amp;L by fund - QTD'!$AU$83,'P&amp;L by fund - QTD'!$AW$83,'P&amp;L by fund - QTD'!$AW$85,'P&amp;L by fund - QTD'!$AW$86,'P&amp;L by fund - QTD'!$AW$87,'P&amp;L by fund - QTD'!$AW$88,'P&amp;L by fund - QTD'!$AW$89,'P&amp;L by fund - QTD'!$AW$90,'P&amp;L by fund - QTD'!$AW$91,'P&amp;L by fund - QTD'!$AW$92,'P&amp;L by fund - QTD'!$AW$93,'P&amp;L by fund - QTD'!$AW$94,'P&amp;L by fund - QTD'!$AW$95</definedName>
    <definedName name="QB_FORMULA_16" localSheetId="3" hidden="1">'P&amp;L by fund - YTD'!$BM$81,'P&amp;L by fund - YTD'!$BO$81,'P&amp;L by fund - YTD'!$BQ$81,'P&amp;L by fund - YTD'!$BQ$83,'P&amp;L by fund - YTD'!$G$84,'P&amp;L by fund - YTD'!$I$84,'P&amp;L by fund - YTD'!$K$84,'P&amp;L by fund - YTD'!$M$84,'P&amp;L by fund - YTD'!$O$84,'P&amp;L by fund - YTD'!$Q$84,'P&amp;L by fund - YTD'!$S$84,'P&amp;L by fund - YTD'!$U$84,'P&amp;L by fund - YTD'!$W$84,'P&amp;L by fund - YTD'!$Y$84,'P&amp;L by fund - YTD'!$AA$84,'P&amp;L by fund - YTD'!$AC$84</definedName>
    <definedName name="QB_FORMULA_17" localSheetId="4" hidden="1">'Budget V Actual - YTD'!$K$141,'Budget V Actual - YTD'!$M$141,'Budget V Actual - YTD'!$K$142,'Budget V Actual - YTD'!$M$142,'Budget V Actual - YTD'!$G$143,'Budget V Actual - YTD'!$I$143,'Budget V Actual - YTD'!$K$143,'Budget V Actual - YTD'!$M$143,'Budget V Actual - YTD'!$K$145,'Budget V Actual - YTD'!$M$145,'Budget V Actual - YTD'!$K$146,'Budget V Actual - YTD'!$M$146,'Budget V Actual - YTD'!$K$147,'Budget V Actual - YTD'!$M$147,'Budget V Actual - YTD'!$K$148,'Budget V Actual - YTD'!$M$148</definedName>
    <definedName name="QB_FORMULA_17" localSheetId="2" hidden="1">'P&amp;L by fund - QTD'!$G$96,'P&amp;L by fund - QTD'!$I$96,'P&amp;L by fund - QTD'!$K$96,'P&amp;L by fund - QTD'!$M$96,'P&amp;L by fund - QTD'!$O$96,'P&amp;L by fund - QTD'!$Q$96,'P&amp;L by fund - QTD'!$S$96,'P&amp;L by fund - QTD'!$U$96,'P&amp;L by fund - QTD'!$W$96,'P&amp;L by fund - QTD'!$Y$96,'P&amp;L by fund - QTD'!$AA$96,'P&amp;L by fund - QTD'!$AC$96,'P&amp;L by fund - QTD'!$AE$96,'P&amp;L by fund - QTD'!$AG$96,'P&amp;L by fund - QTD'!$AI$96,'P&amp;L by fund - QTD'!$AK$96</definedName>
    <definedName name="QB_FORMULA_17" localSheetId="3" hidden="1">'P&amp;L by fund - YTD'!$AE$84,'P&amp;L by fund - YTD'!$AG$84,'P&amp;L by fund - YTD'!$AI$84,'P&amp;L by fund - YTD'!$AK$84,'P&amp;L by fund - YTD'!$AM$84,'P&amp;L by fund - YTD'!$AO$84,'P&amp;L by fund - YTD'!$AQ$84,'P&amp;L by fund - YTD'!$AS$84,'P&amp;L by fund - YTD'!$AU$84,'P&amp;L by fund - YTD'!$AW$84,'P&amp;L by fund - YTD'!$AY$84,'P&amp;L by fund - YTD'!$BA$84,'P&amp;L by fund - YTD'!$BC$84,'P&amp;L by fund - YTD'!$BE$84,'P&amp;L by fund - YTD'!$BG$84,'P&amp;L by fund - YTD'!$BI$84</definedName>
    <definedName name="QB_FORMULA_18" localSheetId="4" hidden="1">'Budget V Actual - YTD'!$K$149,'Budget V Actual - YTD'!$M$149,'Budget V Actual - YTD'!$K$150,'Budget V Actual - YTD'!$M$150,'Budget V Actual - YTD'!$K$151,'Budget V Actual - YTD'!$M$151,'Budget V Actual - YTD'!$K$152,'Budget V Actual - YTD'!$M$152,'Budget V Actual - YTD'!$G$153,'Budget V Actual - YTD'!$I$153,'Budget V Actual - YTD'!$K$153,'Budget V Actual - YTD'!$M$153,'Budget V Actual - YTD'!$K$155,'Budget V Actual - YTD'!$M$155,'Budget V Actual - YTD'!$G$156,'Budget V Actual - YTD'!$I$156</definedName>
    <definedName name="QB_FORMULA_18" localSheetId="2" hidden="1">'P&amp;L by fund - QTD'!$AM$96,'P&amp;L by fund - QTD'!$AO$96,'P&amp;L by fund - QTD'!$AQ$96,'P&amp;L by fund - QTD'!$AS$96,'P&amp;L by fund - QTD'!$AU$96,'P&amp;L by fund - QTD'!$AW$96,'P&amp;L by fund - QTD'!$AW$98,'P&amp;L by fund - QTD'!$AW$99,'P&amp;L by fund - QTD'!$AW$100,'P&amp;L by fund - QTD'!$AW$101,'P&amp;L by fund - QTD'!$G$102,'P&amp;L by fund - QTD'!$I$102,'P&amp;L by fund - QTD'!$K$102,'P&amp;L by fund - QTD'!$M$102,'P&amp;L by fund - QTD'!$O$102,'P&amp;L by fund - QTD'!$Q$102</definedName>
    <definedName name="QB_FORMULA_18" localSheetId="3" hidden="1">'P&amp;L by fund - YTD'!$BK$84,'P&amp;L by fund - YTD'!$BM$84,'P&amp;L by fund - YTD'!$BO$84,'P&amp;L by fund - YTD'!$BQ$84,'P&amp;L by fund - YTD'!$BQ$86,'P&amp;L by fund - YTD'!$BQ$87,'P&amp;L by fund - YTD'!$BQ$88,'P&amp;L by fund - YTD'!$BQ$89,'P&amp;L by fund - YTD'!$BQ$90,'P&amp;L by fund - YTD'!$BQ$91,'P&amp;L by fund - YTD'!$BQ$92,'P&amp;L by fund - YTD'!$G$93,'P&amp;L by fund - YTD'!$I$93,'P&amp;L by fund - YTD'!$K$93,'P&amp;L by fund - YTD'!$M$93,'P&amp;L by fund - YTD'!$O$93</definedName>
    <definedName name="QB_FORMULA_19" localSheetId="4" hidden="1">'Budget V Actual - YTD'!$K$156,'Budget V Actual - YTD'!$M$156,'Budget V Actual - YTD'!$K$158,'Budget V Actual - YTD'!$M$158,'Budget V Actual - YTD'!$G$159,'Budget V Actual - YTD'!$I$159,'Budget V Actual - YTD'!$K$159,'Budget V Actual - YTD'!$M$159,'Budget V Actual - YTD'!$K$161,'Budget V Actual - YTD'!$M$161,'Budget V Actual - YTD'!$K$162,'Budget V Actual - YTD'!$M$162,'Budget V Actual - YTD'!$G$163,'Budget V Actual - YTD'!$I$163,'Budget V Actual - YTD'!$K$163,'Budget V Actual - YTD'!$M$163</definedName>
    <definedName name="QB_FORMULA_19" localSheetId="2" hidden="1">'P&amp;L by fund - QTD'!$S$102,'P&amp;L by fund - QTD'!$U$102,'P&amp;L by fund - QTD'!$W$102,'P&amp;L by fund - QTD'!$Y$102,'P&amp;L by fund - QTD'!$AA$102,'P&amp;L by fund - QTD'!$AC$102,'P&amp;L by fund - QTD'!$AE$102,'P&amp;L by fund - QTD'!$AG$102,'P&amp;L by fund - QTD'!$AI$102,'P&amp;L by fund - QTD'!$AK$102,'P&amp;L by fund - QTD'!$AM$102,'P&amp;L by fund - QTD'!$AO$102,'P&amp;L by fund - QTD'!$AQ$102,'P&amp;L by fund - QTD'!$AS$102,'P&amp;L by fund - QTD'!$AU$102,'P&amp;L by fund - QTD'!$AW$102</definedName>
    <definedName name="QB_FORMULA_19" localSheetId="3" hidden="1">'P&amp;L by fund - YTD'!$Q$93,'P&amp;L by fund - YTD'!$S$93,'P&amp;L by fund - YTD'!$U$93,'P&amp;L by fund - YTD'!$W$93,'P&amp;L by fund - YTD'!$Y$93,'P&amp;L by fund - YTD'!$AA$93,'P&amp;L by fund - YTD'!$AC$93,'P&amp;L by fund - YTD'!$AE$93,'P&amp;L by fund - YTD'!$AG$93,'P&amp;L by fund - YTD'!$AI$93,'P&amp;L by fund - YTD'!$AK$93,'P&amp;L by fund - YTD'!$AM$93,'P&amp;L by fund - YTD'!$AO$93,'P&amp;L by fund - YTD'!$AQ$93,'P&amp;L by fund - YTD'!$AS$93,'P&amp;L by fund - YTD'!$AU$93</definedName>
    <definedName name="QB_FORMULA_2" localSheetId="4" hidden="1">'Budget V Actual - YTD'!$K$21,'Budget V Actual - YTD'!$M$21,'Budget V Actual - YTD'!$K$22,'Budget V Actual - YTD'!$M$22,'Budget V Actual - YTD'!$K$23,'Budget V Actual - YTD'!$M$23,'Budget V Actual - YTD'!$K$24,'Budget V Actual - YTD'!$M$24,'Budget V Actual - YTD'!$K$25,'Budget V Actual - YTD'!$M$25,'Budget V Actual - YTD'!$K$26,'Budget V Actual - YTD'!$M$26,'Budget V Actual - YTD'!$K$27,'Budget V Actual - YTD'!$M$27,'Budget V Actual - YTD'!$K$28,'Budget V Actual - YTD'!$M$28</definedName>
    <definedName name="QB_FORMULA_2" localSheetId="1" hidden="1">'P&amp;L'!$G$149,'P&amp;L'!$I$149,'P&amp;L'!$G$152,'P&amp;L'!$I$152,'P&amp;L'!$G$155,'P&amp;L'!$I$155,'P&amp;L'!$G$161,'P&amp;L'!$I$161,'P&amp;L'!$G$177,'P&amp;L'!$I$177,'P&amp;L'!$G$180,'P&amp;L'!$I$180,'P&amp;L'!$G$184,'P&amp;L'!$I$184,'P&amp;L'!$G$187,'P&amp;L'!$I$187</definedName>
    <definedName name="QB_FORMULA_2" localSheetId="2" hidden="1">'P&amp;L by fund - QTD'!$AK$21,'P&amp;L by fund - QTD'!$AM$21,'P&amp;L by fund - QTD'!$AO$21,'P&amp;L by fund - QTD'!$AQ$21,'P&amp;L by fund - QTD'!$AS$21,'P&amp;L by fund - QTD'!$AU$21,'P&amp;L by fund - QTD'!$AW$21,'P&amp;L by fund - QTD'!$G$22,'P&amp;L by fund - QTD'!$I$22,'P&amp;L by fund - QTD'!$K$22,'P&amp;L by fund - QTD'!$M$22,'P&amp;L by fund - QTD'!$O$22,'P&amp;L by fund - QTD'!$Q$22,'P&amp;L by fund - QTD'!$S$22,'P&amp;L by fund - QTD'!$U$22,'P&amp;L by fund - QTD'!$W$22</definedName>
    <definedName name="QB_FORMULA_2" localSheetId="3" hidden="1">'P&amp;L by fund - YTD'!$AA$27,'P&amp;L by fund - YTD'!$AC$27,'P&amp;L by fund - YTD'!$AE$27,'P&amp;L by fund - YTD'!$AG$27,'P&amp;L by fund - YTD'!$AI$27,'P&amp;L by fund - YTD'!$AK$27,'P&amp;L by fund - YTD'!$AM$27,'P&amp;L by fund - YTD'!$AO$27,'P&amp;L by fund - YTD'!$AQ$27,'P&amp;L by fund - YTD'!$AS$27,'P&amp;L by fund - YTD'!$AU$27,'P&amp;L by fund - YTD'!$AW$27,'P&amp;L by fund - YTD'!$AY$27,'P&amp;L by fund - YTD'!$BA$27,'P&amp;L by fund - YTD'!$BC$27,'P&amp;L by fund - YTD'!$BE$27</definedName>
    <definedName name="QB_FORMULA_20" localSheetId="4" hidden="1">'Budget V Actual - YTD'!$K$165,'Budget V Actual - YTD'!$M$165,'Budget V Actual - YTD'!$G$166,'Budget V Actual - YTD'!$I$166,'Budget V Actual - YTD'!$K$166,'Budget V Actual - YTD'!$M$166,'Budget V Actual - YTD'!$K$168,'Budget V Actual - YTD'!$M$168,'Budget V Actual - YTD'!$K$169,'Budget V Actual - YTD'!$M$169,'Budget V Actual - YTD'!$K$170,'Budget V Actual - YTD'!$M$170,'Budget V Actual - YTD'!$K$171,'Budget V Actual - YTD'!$M$171,'Budget V Actual - YTD'!$G$172,'Budget V Actual - YTD'!$I$172</definedName>
    <definedName name="QB_FORMULA_20" localSheetId="2" hidden="1">'P&amp;L by fund - QTD'!$AW$104,'P&amp;L by fund - QTD'!$G$105,'P&amp;L by fund - QTD'!$I$105,'P&amp;L by fund - QTD'!$K$105,'P&amp;L by fund - QTD'!$M$105,'P&amp;L by fund - QTD'!$O$105,'P&amp;L by fund - QTD'!$Q$105,'P&amp;L by fund - QTD'!$S$105,'P&amp;L by fund - QTD'!$U$105,'P&amp;L by fund - QTD'!$W$105,'P&amp;L by fund - QTD'!$Y$105,'P&amp;L by fund - QTD'!$AA$105,'P&amp;L by fund - QTD'!$AC$105,'P&amp;L by fund - QTD'!$AE$105,'P&amp;L by fund - QTD'!$AG$105,'P&amp;L by fund - QTD'!$AI$105</definedName>
    <definedName name="QB_FORMULA_20" localSheetId="3" hidden="1">'P&amp;L by fund - YTD'!$AW$93,'P&amp;L by fund - YTD'!$AY$93,'P&amp;L by fund - YTD'!$BA$93,'P&amp;L by fund - YTD'!$BC$93,'P&amp;L by fund - YTD'!$BE$93,'P&amp;L by fund - YTD'!$BG$93,'P&amp;L by fund - YTD'!$BI$93,'P&amp;L by fund - YTD'!$BK$93,'P&amp;L by fund - YTD'!$BM$93,'P&amp;L by fund - YTD'!$BO$93,'P&amp;L by fund - YTD'!$BQ$93,'P&amp;L by fund - YTD'!$BQ$95,'P&amp;L by fund - YTD'!$BQ$96,'P&amp;L by fund - YTD'!$G$97,'P&amp;L by fund - YTD'!$I$97,'P&amp;L by fund - YTD'!$K$97</definedName>
    <definedName name="QB_FORMULA_21" localSheetId="4" hidden="1">'Budget V Actual - YTD'!$K$172,'Budget V Actual - YTD'!$M$172,'Budget V Actual - YTD'!$K$174,'Budget V Actual - YTD'!$M$174,'Budget V Actual - YTD'!$K$175,'Budget V Actual - YTD'!$M$175,'Budget V Actual - YTD'!$K$176,'Budget V Actual - YTD'!$M$176,'Budget V Actual - YTD'!$K$177,'Budget V Actual - YTD'!$M$177,'Budget V Actual - YTD'!$K$178,'Budget V Actual - YTD'!$M$178,'Budget V Actual - YTD'!$K$179,'Budget V Actual - YTD'!$M$179,'Budget V Actual - YTD'!$K$180,'Budget V Actual - YTD'!$M$180</definedName>
    <definedName name="QB_FORMULA_21" localSheetId="2" hidden="1">'P&amp;L by fund - QTD'!$AK$105,'P&amp;L by fund - QTD'!$AM$105,'P&amp;L by fund - QTD'!$AO$105,'P&amp;L by fund - QTD'!$AQ$105,'P&amp;L by fund - QTD'!$AS$105,'P&amp;L by fund - QTD'!$AU$105,'P&amp;L by fund - QTD'!$AW$105,'P&amp;L by fund - QTD'!$AW$107,'P&amp;L by fund - QTD'!$G$108,'P&amp;L by fund - QTD'!$I$108,'P&amp;L by fund - QTD'!$K$108,'P&amp;L by fund - QTD'!$M$108,'P&amp;L by fund - QTD'!$O$108,'P&amp;L by fund - QTD'!$Q$108,'P&amp;L by fund - QTD'!$S$108,'P&amp;L by fund - QTD'!$U$108</definedName>
    <definedName name="QB_FORMULA_21" localSheetId="3" hidden="1">'P&amp;L by fund - YTD'!$M$97,'P&amp;L by fund - YTD'!$O$97,'P&amp;L by fund - YTD'!$Q$97,'P&amp;L by fund - YTD'!$S$97,'P&amp;L by fund - YTD'!$U$97,'P&amp;L by fund - YTD'!$W$97,'P&amp;L by fund - YTD'!$Y$97,'P&amp;L by fund - YTD'!$AA$97,'P&amp;L by fund - YTD'!$AC$97,'P&amp;L by fund - YTD'!$AE$97,'P&amp;L by fund - YTD'!$AG$97,'P&amp;L by fund - YTD'!$AI$97,'P&amp;L by fund - YTD'!$AK$97,'P&amp;L by fund - YTD'!$AM$97,'P&amp;L by fund - YTD'!$AO$97,'P&amp;L by fund - YTD'!$AQ$97</definedName>
    <definedName name="QB_FORMULA_22" localSheetId="4" hidden="1">'Budget V Actual - YTD'!$K$181,'Budget V Actual - YTD'!$M$181,'Budget V Actual - YTD'!$K$182,'Budget V Actual - YTD'!$M$182,'Budget V Actual - YTD'!$K$183,'Budget V Actual - YTD'!$M$183,'Budget V Actual - YTD'!$K$184,'Budget V Actual - YTD'!$M$184,'Budget V Actual - YTD'!$K$185,'Budget V Actual - YTD'!$M$185,'Budget V Actual - YTD'!$K$186,'Budget V Actual - YTD'!$M$186,'Budget V Actual - YTD'!$K$187,'Budget V Actual - YTD'!$M$187,'Budget V Actual - YTD'!$G$188,'Budget V Actual - YTD'!$I$188</definedName>
    <definedName name="QB_FORMULA_22" localSheetId="2" hidden="1">'P&amp;L by fund - QTD'!$W$108,'P&amp;L by fund - QTD'!$Y$108,'P&amp;L by fund - QTD'!$AA$108,'P&amp;L by fund - QTD'!$AC$108,'P&amp;L by fund - QTD'!$AE$108,'P&amp;L by fund - QTD'!$AG$108,'P&amp;L by fund - QTD'!$AI$108,'P&amp;L by fund - QTD'!$AK$108,'P&amp;L by fund - QTD'!$AM$108,'P&amp;L by fund - QTD'!$AO$108,'P&amp;L by fund - QTD'!$AQ$108,'P&amp;L by fund - QTD'!$AS$108,'P&amp;L by fund - QTD'!$AU$108,'P&amp;L by fund - QTD'!$AW$108,'P&amp;L by fund - QTD'!$AW$110,'P&amp;L by fund - QTD'!$G$111</definedName>
    <definedName name="QB_FORMULA_22" localSheetId="3" hidden="1">'P&amp;L by fund - YTD'!$AS$97,'P&amp;L by fund - YTD'!$AU$97,'P&amp;L by fund - YTD'!$AW$97,'P&amp;L by fund - YTD'!$AY$97,'P&amp;L by fund - YTD'!$BA$97,'P&amp;L by fund - YTD'!$BC$97,'P&amp;L by fund - YTD'!$BE$97,'P&amp;L by fund - YTD'!$BG$97,'P&amp;L by fund - YTD'!$BI$97,'P&amp;L by fund - YTD'!$BK$97,'P&amp;L by fund - YTD'!$BM$97,'P&amp;L by fund - YTD'!$BO$97,'P&amp;L by fund - YTD'!$BQ$97,'P&amp;L by fund - YTD'!$BQ$99,'P&amp;L by fund - YTD'!$BQ$100,'P&amp;L by fund - YTD'!$BQ$101</definedName>
    <definedName name="QB_FORMULA_23" localSheetId="4" hidden="1">'Budget V Actual - YTD'!$K$188,'Budget V Actual - YTD'!$M$188,'Budget V Actual - YTD'!$K$190,'Budget V Actual - YTD'!$M$190,'Budget V Actual - YTD'!$G$191,'Budget V Actual - YTD'!$I$191,'Budget V Actual - YTD'!$K$191,'Budget V Actual - YTD'!$M$191,'Budget V Actual - YTD'!$K$193,'Budget V Actual - YTD'!$M$193,'Budget V Actual - YTD'!$K$194,'Budget V Actual - YTD'!$M$194,'Budget V Actual - YTD'!$G$195,'Budget V Actual - YTD'!$I$195,'Budget V Actual - YTD'!$K$195,'Budget V Actual - YTD'!$M$195</definedName>
    <definedName name="QB_FORMULA_23" localSheetId="2" hidden="1">'P&amp;L by fund - QTD'!$I$111,'P&amp;L by fund - QTD'!$K$111,'P&amp;L by fund - QTD'!$M$111,'P&amp;L by fund - QTD'!$O$111,'P&amp;L by fund - QTD'!$Q$111,'P&amp;L by fund - QTD'!$S$111,'P&amp;L by fund - QTD'!$U$111,'P&amp;L by fund - QTD'!$W$111,'P&amp;L by fund - QTD'!$Y$111,'P&amp;L by fund - QTD'!$AA$111,'P&amp;L by fund - QTD'!$AC$111,'P&amp;L by fund - QTD'!$AE$111,'P&amp;L by fund - QTD'!$AG$111,'P&amp;L by fund - QTD'!$AI$111,'P&amp;L by fund - QTD'!$AK$111,'P&amp;L by fund - QTD'!$AM$111</definedName>
    <definedName name="QB_FORMULA_23" localSheetId="3" hidden="1">'P&amp;L by fund - YTD'!$BQ$102,'P&amp;L by fund - YTD'!$G$103,'P&amp;L by fund - YTD'!$I$103,'P&amp;L by fund - YTD'!$K$103,'P&amp;L by fund - YTD'!$M$103,'P&amp;L by fund - YTD'!$O$103,'P&amp;L by fund - YTD'!$Q$103,'P&amp;L by fund - YTD'!$S$103,'P&amp;L by fund - YTD'!$U$103,'P&amp;L by fund - YTD'!$W$103,'P&amp;L by fund - YTD'!$Y$103,'P&amp;L by fund - YTD'!$AA$103,'P&amp;L by fund - YTD'!$AC$103,'P&amp;L by fund - YTD'!$AE$103,'P&amp;L by fund - YTD'!$AG$103,'P&amp;L by fund - YTD'!$AI$103</definedName>
    <definedName name="QB_FORMULA_24" localSheetId="4" hidden="1">'Budget V Actual - YTD'!$K$197,'Budget V Actual - YTD'!$M$197,'Budget V Actual - YTD'!$G$198,'Budget V Actual - YTD'!$I$198,'Budget V Actual - YTD'!$K$198,'Budget V Actual - YTD'!$M$198,'Budget V Actual - YTD'!$K$200,'Budget V Actual - YTD'!$M$200,'Budget V Actual - YTD'!$K$201,'Budget V Actual - YTD'!$M$201,'Budget V Actual - YTD'!$K$202,'Budget V Actual - YTD'!$M$202,'Budget V Actual - YTD'!$K$203,'Budget V Actual - YTD'!$M$203,'Budget V Actual - YTD'!$K$204,'Budget V Actual - YTD'!$M$204</definedName>
    <definedName name="QB_FORMULA_24" localSheetId="2" hidden="1">'P&amp;L by fund - QTD'!$AO$111,'P&amp;L by fund - QTD'!$AQ$111,'P&amp;L by fund - QTD'!$AS$111,'P&amp;L by fund - QTD'!$AU$111,'P&amp;L by fund - QTD'!$AW$111,'P&amp;L by fund - QTD'!$AW$113,'P&amp;L by fund - QTD'!$G$114,'P&amp;L by fund - QTD'!$I$114,'P&amp;L by fund - QTD'!$K$114,'P&amp;L by fund - QTD'!$M$114,'P&amp;L by fund - QTD'!$O$114,'P&amp;L by fund - QTD'!$Q$114,'P&amp;L by fund - QTD'!$S$114,'P&amp;L by fund - QTD'!$U$114,'P&amp;L by fund - QTD'!$W$114,'P&amp;L by fund - QTD'!$Y$114</definedName>
    <definedName name="QB_FORMULA_24" localSheetId="3" hidden="1">'P&amp;L by fund - YTD'!$AK$103,'P&amp;L by fund - YTD'!$AM$103,'P&amp;L by fund - YTD'!$AO$103,'P&amp;L by fund - YTD'!$AQ$103,'P&amp;L by fund - YTD'!$AS$103,'P&amp;L by fund - YTD'!$AU$103,'P&amp;L by fund - YTD'!$AW$103,'P&amp;L by fund - YTD'!$AY$103,'P&amp;L by fund - YTD'!$BA$103,'P&amp;L by fund - YTD'!$BC$103,'P&amp;L by fund - YTD'!$BE$103,'P&amp;L by fund - YTD'!$BG$103,'P&amp;L by fund - YTD'!$BI$103,'P&amp;L by fund - YTD'!$BK$103,'P&amp;L by fund - YTD'!$BM$103,'P&amp;L by fund - YTD'!$BO$103</definedName>
    <definedName name="QB_FORMULA_25" localSheetId="4" hidden="1">'Budget V Actual - YTD'!$G$205,'Budget V Actual - YTD'!$I$205,'Budget V Actual - YTD'!$K$205,'Budget V Actual - YTD'!$M$205,'Budget V Actual - YTD'!$K$207,'Budget V Actual - YTD'!$M$207,'Budget V Actual - YTD'!$G$208,'Budget V Actual - YTD'!$I$208,'Budget V Actual - YTD'!$K$208,'Budget V Actual - YTD'!$M$208,'Budget V Actual - YTD'!$K$210,'Budget V Actual - YTD'!$M$210,'Budget V Actual - YTD'!$K$211,'Budget V Actual - YTD'!$M$211,'Budget V Actual - YTD'!$K$212,'Budget V Actual - YTD'!$M$212</definedName>
    <definedName name="QB_FORMULA_25" localSheetId="2" hidden="1">'P&amp;L by fund - QTD'!$AA$114,'P&amp;L by fund - QTD'!$AC$114,'P&amp;L by fund - QTD'!$AE$114,'P&amp;L by fund - QTD'!$AG$114,'P&amp;L by fund - QTD'!$AI$114,'P&amp;L by fund - QTD'!$AK$114,'P&amp;L by fund - QTD'!$AM$114,'P&amp;L by fund - QTD'!$AO$114,'P&amp;L by fund - QTD'!$AQ$114,'P&amp;L by fund - QTD'!$AS$114,'P&amp;L by fund - QTD'!$AU$114,'P&amp;L by fund - QTD'!$AW$114,'P&amp;L by fund - QTD'!$AW$116,'P&amp;L by fund - QTD'!$G$117,'P&amp;L by fund - QTD'!$I$117,'P&amp;L by fund - QTD'!$K$117</definedName>
    <definedName name="QB_FORMULA_25" localSheetId="3" hidden="1">'P&amp;L by fund - YTD'!$BQ$103,'P&amp;L by fund - YTD'!$BQ$105,'P&amp;L by fund - YTD'!$BQ$106,'P&amp;L by fund - YTD'!$BQ$107,'P&amp;L by fund - YTD'!$BQ$108,'P&amp;L by fund - YTD'!$BQ$109,'P&amp;L by fund - YTD'!$G$110,'P&amp;L by fund - YTD'!$I$110,'P&amp;L by fund - YTD'!$K$110,'P&amp;L by fund - YTD'!$M$110,'P&amp;L by fund - YTD'!$O$110,'P&amp;L by fund - YTD'!$Q$110,'P&amp;L by fund - YTD'!$S$110,'P&amp;L by fund - YTD'!$U$110,'P&amp;L by fund - YTD'!$W$110,'P&amp;L by fund - YTD'!$Y$110</definedName>
    <definedName name="QB_FORMULA_26" localSheetId="4" hidden="1">'Budget V Actual - YTD'!$K$213,'Budget V Actual - YTD'!$M$213,'Budget V Actual - YTD'!$K$214,'Budget V Actual - YTD'!$M$214,'Budget V Actual - YTD'!$K$215,'Budget V Actual - YTD'!$M$215,'Budget V Actual - YTD'!$K$216,'Budget V Actual - YTD'!$M$216,'Budget V Actual - YTD'!$K$217,'Budget V Actual - YTD'!$M$217,'Budget V Actual - YTD'!$K$218,'Budget V Actual - YTD'!$M$218,'Budget V Actual - YTD'!$G$219,'Budget V Actual - YTD'!$I$219,'Budget V Actual - YTD'!$K$219,'Budget V Actual - YTD'!$M$219</definedName>
    <definedName name="QB_FORMULA_26" localSheetId="2" hidden="1">'P&amp;L by fund - QTD'!$M$117,'P&amp;L by fund - QTD'!$O$117,'P&amp;L by fund - QTD'!$Q$117,'P&amp;L by fund - QTD'!$S$117,'P&amp;L by fund - QTD'!$U$117,'P&amp;L by fund - QTD'!$W$117,'P&amp;L by fund - QTD'!$Y$117,'P&amp;L by fund - QTD'!$AA$117,'P&amp;L by fund - QTD'!$AC$117,'P&amp;L by fund - QTD'!$AE$117,'P&amp;L by fund - QTD'!$AG$117,'P&amp;L by fund - QTD'!$AI$117,'P&amp;L by fund - QTD'!$AK$117,'P&amp;L by fund - QTD'!$AM$117,'P&amp;L by fund - QTD'!$AO$117,'P&amp;L by fund - QTD'!$AQ$117</definedName>
    <definedName name="QB_FORMULA_26" localSheetId="3" hidden="1">'P&amp;L by fund - YTD'!$AA$110,'P&amp;L by fund - YTD'!$AC$110,'P&amp;L by fund - YTD'!$AE$110,'P&amp;L by fund - YTD'!$AG$110,'P&amp;L by fund - YTD'!$AI$110,'P&amp;L by fund - YTD'!$AK$110,'P&amp;L by fund - YTD'!$AM$110,'P&amp;L by fund - YTD'!$AO$110,'P&amp;L by fund - YTD'!$AQ$110,'P&amp;L by fund - YTD'!$AS$110,'P&amp;L by fund - YTD'!$AU$110,'P&amp;L by fund - YTD'!$AW$110,'P&amp;L by fund - YTD'!$AY$110,'P&amp;L by fund - YTD'!$BA$110,'P&amp;L by fund - YTD'!$BC$110,'P&amp;L by fund - YTD'!$BE$110</definedName>
    <definedName name="QB_FORMULA_27" localSheetId="4" hidden="1">'Budget V Actual - YTD'!$K$221,'Budget V Actual - YTD'!$M$221,'Budget V Actual - YTD'!$K$222,'Budget V Actual - YTD'!$M$222,'Budget V Actual - YTD'!$K$223,'Budget V Actual - YTD'!$M$223,'Budget V Actual - YTD'!$K$224,'Budget V Actual - YTD'!$M$224,'Budget V Actual - YTD'!$K$225,'Budget V Actual - YTD'!$M$225,'Budget V Actual - YTD'!$K$226,'Budget V Actual - YTD'!$M$226,'Budget V Actual - YTD'!$K$227,'Budget V Actual - YTD'!$M$227,'Budget V Actual - YTD'!$K$228,'Budget V Actual - YTD'!$M$228</definedName>
    <definedName name="QB_FORMULA_27" localSheetId="2" hidden="1">'P&amp;L by fund - QTD'!$AS$117,'P&amp;L by fund - QTD'!$AU$117,'P&amp;L by fund - QTD'!$AW$117,'P&amp;L by fund - QTD'!$AW$119,'P&amp;L by fund - QTD'!$AW$120,'P&amp;L by fund - QTD'!$AW$121,'P&amp;L by fund - QTD'!$G$122,'P&amp;L by fund - QTD'!$I$122,'P&amp;L by fund - QTD'!$K$122,'P&amp;L by fund - QTD'!$M$122,'P&amp;L by fund - QTD'!$O$122,'P&amp;L by fund - QTD'!$Q$122,'P&amp;L by fund - QTD'!$S$122,'P&amp;L by fund - QTD'!$U$122,'P&amp;L by fund - QTD'!$W$122,'P&amp;L by fund - QTD'!$Y$122</definedName>
    <definedName name="QB_FORMULA_27" localSheetId="3" hidden="1">'P&amp;L by fund - YTD'!$BG$110,'P&amp;L by fund - YTD'!$BI$110,'P&amp;L by fund - YTD'!$BK$110,'P&amp;L by fund - YTD'!$BM$110,'P&amp;L by fund - YTD'!$BO$110,'P&amp;L by fund - YTD'!$BQ$110,'P&amp;L by fund - YTD'!$BQ$112,'P&amp;L by fund - YTD'!$BQ$113,'P&amp;L by fund - YTD'!$G$114,'P&amp;L by fund - YTD'!$I$114,'P&amp;L by fund - YTD'!$K$114,'P&amp;L by fund - YTD'!$M$114,'P&amp;L by fund - YTD'!$O$114,'P&amp;L by fund - YTD'!$Q$114,'P&amp;L by fund - YTD'!$S$114,'P&amp;L by fund - YTD'!$U$114</definedName>
    <definedName name="QB_FORMULA_28" localSheetId="4" hidden="1">'Budget V Actual - YTD'!$G$229,'Budget V Actual - YTD'!$I$229,'Budget V Actual - YTD'!$K$229,'Budget V Actual - YTD'!$M$229,'Budget V Actual - YTD'!$K$231,'Budget V Actual - YTD'!$M$231,'Budget V Actual - YTD'!$G$232,'Budget V Actual - YTD'!$I$232,'Budget V Actual - YTD'!$K$232,'Budget V Actual - YTD'!$M$232,'Budget V Actual - YTD'!$K$234,'Budget V Actual - YTD'!$M$234,'Budget V Actual - YTD'!$G$235,'Budget V Actual - YTD'!$I$235,'Budget V Actual - YTD'!$K$235,'Budget V Actual - YTD'!$M$235</definedName>
    <definedName name="QB_FORMULA_28" localSheetId="2" hidden="1">'P&amp;L by fund - QTD'!$AA$122,'P&amp;L by fund - QTD'!$AC$122,'P&amp;L by fund - QTD'!$AE$122,'P&amp;L by fund - QTD'!$AG$122,'P&amp;L by fund - QTD'!$AI$122,'P&amp;L by fund - QTD'!$AK$122,'P&amp;L by fund - QTD'!$AM$122,'P&amp;L by fund - QTD'!$AO$122,'P&amp;L by fund - QTD'!$AQ$122,'P&amp;L by fund - QTD'!$AS$122,'P&amp;L by fund - QTD'!$AU$122,'P&amp;L by fund - QTD'!$AW$122,'P&amp;L by fund - QTD'!$AW$124,'P&amp;L by fund - QTD'!$AW$125,'P&amp;L by fund - QTD'!$AW$126,'P&amp;L by fund - QTD'!$AW$127</definedName>
    <definedName name="QB_FORMULA_28" localSheetId="3" hidden="1">'P&amp;L by fund - YTD'!$W$114,'P&amp;L by fund - YTD'!$Y$114,'P&amp;L by fund - YTD'!$AA$114,'P&amp;L by fund - YTD'!$AC$114,'P&amp;L by fund - YTD'!$AE$114,'P&amp;L by fund - YTD'!$AG$114,'P&amp;L by fund - YTD'!$AI$114,'P&amp;L by fund - YTD'!$AK$114,'P&amp;L by fund - YTD'!$AM$114,'P&amp;L by fund - YTD'!$AO$114,'P&amp;L by fund - YTD'!$AQ$114,'P&amp;L by fund - YTD'!$AS$114,'P&amp;L by fund - YTD'!$AU$114,'P&amp;L by fund - YTD'!$AW$114,'P&amp;L by fund - YTD'!$AY$114,'P&amp;L by fund - YTD'!$BA$114</definedName>
    <definedName name="QB_FORMULA_29" localSheetId="4" hidden="1">'Budget V Actual - YTD'!$K$237,'Budget V Actual - YTD'!$M$237,'Budget V Actual - YTD'!$K$238,'Budget V Actual - YTD'!$M$238,'Budget V Actual - YTD'!$K$239,'Budget V Actual - YTD'!$M$239,'Budget V Actual - YTD'!$G$240,'Budget V Actual - YTD'!$I$240,'Budget V Actual - YTD'!$K$240,'Budget V Actual - YTD'!$M$240,'Budget V Actual - YTD'!$K$242,'Budget V Actual - YTD'!$M$242,'Budget V Actual - YTD'!$K$243,'Budget V Actual - YTD'!$M$243,'Budget V Actual - YTD'!$G$244,'Budget V Actual - YTD'!$I$244</definedName>
    <definedName name="QB_FORMULA_29" localSheetId="2" hidden="1">'P&amp;L by fund - QTD'!$AW$128,'P&amp;L by fund - QTD'!$AW$129,'P&amp;L by fund - QTD'!$AW$130,'P&amp;L by fund - QTD'!$AW$131,'P&amp;L by fund - QTD'!$AW$132,'P&amp;L by fund - QTD'!$AW$133,'P&amp;L by fund - QTD'!$AW$134,'P&amp;L by fund - QTD'!$AW$135,'P&amp;L by fund - QTD'!$G$136,'P&amp;L by fund - QTD'!$I$136,'P&amp;L by fund - QTD'!$K$136,'P&amp;L by fund - QTD'!$M$136,'P&amp;L by fund - QTD'!$O$136,'P&amp;L by fund - QTD'!$Q$136,'P&amp;L by fund - QTD'!$S$136,'P&amp;L by fund - QTD'!$U$136</definedName>
    <definedName name="QB_FORMULA_29" localSheetId="3" hidden="1">'P&amp;L by fund - YTD'!$BC$114,'P&amp;L by fund - YTD'!$BE$114,'P&amp;L by fund - YTD'!$BG$114,'P&amp;L by fund - YTD'!$BI$114,'P&amp;L by fund - YTD'!$BK$114,'P&amp;L by fund - YTD'!$BM$114,'P&amp;L by fund - YTD'!$BO$114,'P&amp;L by fund - YTD'!$BQ$114,'P&amp;L by fund - YTD'!$BQ$116,'P&amp;L by fund - YTD'!$BQ$117,'P&amp;L by fund - YTD'!$BQ$118,'P&amp;L by fund - YTD'!$BQ$119,'P&amp;L by fund - YTD'!$BQ$120,'P&amp;L by fund - YTD'!$BQ$121,'P&amp;L by fund - YTD'!$BQ$122,'P&amp;L by fund - YTD'!$BQ$123</definedName>
    <definedName name="QB_FORMULA_3" localSheetId="4" hidden="1">'Budget V Actual - YTD'!$K$29,'Budget V Actual - YTD'!$M$29,'Budget V Actual - YTD'!$K$31,'Budget V Actual - YTD'!$M$31,'Budget V Actual - YTD'!$G$32,'Budget V Actual - YTD'!$I$32,'Budget V Actual - YTD'!$K$32,'Budget V Actual - YTD'!$M$32,'Budget V Actual - YTD'!$K$33,'Budget V Actual - YTD'!$M$33,'Budget V Actual - YTD'!$K$34,'Budget V Actual - YTD'!$M$34,'Budget V Actual - YTD'!$K$35,'Budget V Actual - YTD'!$M$35,'Budget V Actual - YTD'!$G$36,'Budget V Actual - YTD'!$I$36</definedName>
    <definedName name="QB_FORMULA_3" localSheetId="1" hidden="1">'P&amp;L'!$G$194,'P&amp;L'!$I$194,'P&amp;L'!$G$197,'P&amp;L'!$I$197,'P&amp;L'!$G$208,'P&amp;L'!$I$208,'P&amp;L'!$G$218,'P&amp;L'!$I$218,'P&amp;L'!$G$221,'P&amp;L'!$I$221,'P&amp;L'!$G$224,'P&amp;L'!$I$224,'P&amp;L'!$G$229,'P&amp;L'!$I$229,'P&amp;L'!$G$233,'P&amp;L'!$I$233</definedName>
    <definedName name="QB_FORMULA_3" localSheetId="2" hidden="1">'P&amp;L by fund - QTD'!$Y$22,'P&amp;L by fund - QTD'!$AA$22,'P&amp;L by fund - QTD'!$AC$22,'P&amp;L by fund - QTD'!$AE$22,'P&amp;L by fund - QTD'!$AG$22,'P&amp;L by fund - QTD'!$AI$22,'P&amp;L by fund - QTD'!$AK$22,'P&amp;L by fund - QTD'!$AM$22,'P&amp;L by fund - QTD'!$AO$22,'P&amp;L by fund - QTD'!$AQ$22,'P&amp;L by fund - QTD'!$AS$22,'P&amp;L by fund - QTD'!$AU$22,'P&amp;L by fund - QTD'!$AW$22,'P&amp;L by fund - QTD'!$AW$24,'P&amp;L by fund - QTD'!$AW$26,'P&amp;L by fund - QTD'!$AW$27</definedName>
    <definedName name="QB_FORMULA_3" localSheetId="3" hidden="1">'P&amp;L by fund - YTD'!$BG$27,'P&amp;L by fund - YTD'!$BI$27,'P&amp;L by fund - YTD'!$BK$27,'P&amp;L by fund - YTD'!$BM$27,'P&amp;L by fund - YTD'!$BO$27,'P&amp;L by fund - YTD'!$BQ$27,'P&amp;L by fund - YTD'!$BQ$28,'P&amp;L by fund - YTD'!$BQ$29,'P&amp;L by fund - YTD'!$BQ$30,'P&amp;L by fund - YTD'!$G$31,'P&amp;L by fund - YTD'!$I$31,'P&amp;L by fund - YTD'!$K$31,'P&amp;L by fund - YTD'!$M$31,'P&amp;L by fund - YTD'!$O$31,'P&amp;L by fund - YTD'!$Q$31,'P&amp;L by fund - YTD'!$S$31</definedName>
    <definedName name="QB_FORMULA_30" localSheetId="4" hidden="1">'Budget V Actual - YTD'!$K$244,'Budget V Actual - YTD'!$M$244,'Budget V Actual - YTD'!$K$246,'Budget V Actual - YTD'!$M$246,'Budget V Actual - YTD'!$K$247,'Budget V Actual - YTD'!$M$247,'Budget V Actual - YTD'!$K$248,'Budget V Actual - YTD'!$M$248,'Budget V Actual - YTD'!$K$249,'Budget V Actual - YTD'!$M$249,'Budget V Actual - YTD'!$K$250,'Budget V Actual - YTD'!$M$250,'Budget V Actual - YTD'!$G$251,'Budget V Actual - YTD'!$I$251,'Budget V Actual - YTD'!$K$251,'Budget V Actual - YTD'!$M$251</definedName>
    <definedName name="QB_FORMULA_30" localSheetId="2" hidden="1">'P&amp;L by fund - QTD'!$W$136,'P&amp;L by fund - QTD'!$Y$136,'P&amp;L by fund - QTD'!$AA$136,'P&amp;L by fund - QTD'!$AC$136,'P&amp;L by fund - QTD'!$AE$136,'P&amp;L by fund - QTD'!$AG$136,'P&amp;L by fund - QTD'!$AI$136,'P&amp;L by fund - QTD'!$AK$136,'P&amp;L by fund - QTD'!$AM$136,'P&amp;L by fund - QTD'!$AO$136,'P&amp;L by fund - QTD'!$AQ$136,'P&amp;L by fund - QTD'!$AS$136,'P&amp;L by fund - QTD'!$AU$136,'P&amp;L by fund - QTD'!$AW$136,'P&amp;L by fund - QTD'!$AW$138,'P&amp;L by fund - QTD'!$G$139</definedName>
    <definedName name="QB_FORMULA_30" localSheetId="3" hidden="1">'P&amp;L by fund - YTD'!$BQ$124,'P&amp;L by fund - YTD'!$BQ$125,'P&amp;L by fund - YTD'!$BQ$126,'P&amp;L by fund - YTD'!$BQ$127,'P&amp;L by fund - YTD'!$BQ$128,'P&amp;L by fund - YTD'!$BQ$129,'P&amp;L by fund - YTD'!$G$130,'P&amp;L by fund - YTD'!$I$130,'P&amp;L by fund - YTD'!$K$130,'P&amp;L by fund - YTD'!$M$130,'P&amp;L by fund - YTD'!$O$130,'P&amp;L by fund - YTD'!$Q$130,'P&amp;L by fund - YTD'!$S$130,'P&amp;L by fund - YTD'!$U$130,'P&amp;L by fund - YTD'!$W$130,'P&amp;L by fund - YTD'!$Y$130</definedName>
    <definedName name="QB_FORMULA_31" localSheetId="4" hidden="1">'Budget V Actual - YTD'!$K$253,'Budget V Actual - YTD'!$M$253,'Budget V Actual - YTD'!$G$254,'Budget V Actual - YTD'!$I$254,'Budget V Actual - YTD'!$K$254,'Budget V Actual - YTD'!$M$254,'Budget V Actual - YTD'!$G$255,'Budget V Actual - YTD'!$I$255,'Budget V Actual - YTD'!$K$255,'Budget V Actual - YTD'!$M$255,'Budget V Actual - YTD'!$G$256,'Budget V Actual - YTD'!$I$256,'Budget V Actual - YTD'!$K$256,'Budget V Actual - YTD'!$M$256,'Budget V Actual - YTD'!$K$259,'Budget V Actual - YTD'!$M$259</definedName>
    <definedName name="QB_FORMULA_31" localSheetId="2" hidden="1">'P&amp;L by fund - QTD'!$I$139,'P&amp;L by fund - QTD'!$K$139,'P&amp;L by fund - QTD'!$M$139,'P&amp;L by fund - QTD'!$O$139,'P&amp;L by fund - QTD'!$Q$139,'P&amp;L by fund - QTD'!$S$139,'P&amp;L by fund - QTD'!$U$139,'P&amp;L by fund - QTD'!$W$139,'P&amp;L by fund - QTD'!$Y$139,'P&amp;L by fund - QTD'!$AA$139,'P&amp;L by fund - QTD'!$AC$139,'P&amp;L by fund - QTD'!$AE$139,'P&amp;L by fund - QTD'!$AG$139,'P&amp;L by fund - QTD'!$AI$139,'P&amp;L by fund - QTD'!$AK$139,'P&amp;L by fund - QTD'!$AM$139</definedName>
    <definedName name="QB_FORMULA_31" localSheetId="3" hidden="1">'P&amp;L by fund - YTD'!$AA$130,'P&amp;L by fund - YTD'!$AC$130,'P&amp;L by fund - YTD'!$AE$130,'P&amp;L by fund - YTD'!$AG$130,'P&amp;L by fund - YTD'!$AI$130,'P&amp;L by fund - YTD'!$AK$130,'P&amp;L by fund - YTD'!$AM$130,'P&amp;L by fund - YTD'!$AO$130,'P&amp;L by fund - YTD'!$AQ$130,'P&amp;L by fund - YTD'!$AS$130,'P&amp;L by fund - YTD'!$AU$130,'P&amp;L by fund - YTD'!$AW$130,'P&amp;L by fund - YTD'!$AY$130,'P&amp;L by fund - YTD'!$BA$130,'P&amp;L by fund - YTD'!$BC$130,'P&amp;L by fund - YTD'!$BE$130</definedName>
    <definedName name="QB_FORMULA_32" localSheetId="4" hidden="1">'Budget V Actual - YTD'!$K$260,'Budget V Actual - YTD'!$M$260,'Budget V Actual - YTD'!$G$261,'Budget V Actual - YTD'!$I$261,'Budget V Actual - YTD'!$K$261,'Budget V Actual - YTD'!$M$261,'Budget V Actual - YTD'!$G$262,'Budget V Actual - YTD'!$I$262,'Budget V Actual - YTD'!$K$262,'Budget V Actual - YTD'!$M$262,'Budget V Actual - YTD'!$G$263,'Budget V Actual - YTD'!$I$263,'Budget V Actual - YTD'!$K$263,'Budget V Actual - YTD'!$M$263</definedName>
    <definedName name="QB_FORMULA_32" localSheetId="2" hidden="1">'P&amp;L by fund - QTD'!$AO$139,'P&amp;L by fund - QTD'!$AQ$139,'P&amp;L by fund - QTD'!$AS$139,'P&amp;L by fund - QTD'!$AU$139,'P&amp;L by fund - QTD'!$AW$139,'P&amp;L by fund - QTD'!$AW$141,'P&amp;L by fund - QTD'!$G$142,'P&amp;L by fund - QTD'!$I$142,'P&amp;L by fund - QTD'!$K$142,'P&amp;L by fund - QTD'!$M$142,'P&amp;L by fund - QTD'!$O$142,'P&amp;L by fund - QTD'!$Q$142,'P&amp;L by fund - QTD'!$S$142,'P&amp;L by fund - QTD'!$U$142,'P&amp;L by fund - QTD'!$W$142,'P&amp;L by fund - QTD'!$Y$142</definedName>
    <definedName name="QB_FORMULA_32" localSheetId="3" hidden="1">'P&amp;L by fund - YTD'!$BG$130,'P&amp;L by fund - YTD'!$BI$130,'P&amp;L by fund - YTD'!$BK$130,'P&amp;L by fund - YTD'!$BM$130,'P&amp;L by fund - YTD'!$BO$130,'P&amp;L by fund - YTD'!$BQ$130,'P&amp;L by fund - YTD'!$BQ$132,'P&amp;L by fund - YTD'!$BQ$133,'P&amp;L by fund - YTD'!$BQ$134,'P&amp;L by fund - YTD'!$BQ$135,'P&amp;L by fund - YTD'!$BQ$136,'P&amp;L by fund - YTD'!$BQ$137,'P&amp;L by fund - YTD'!$G$138,'P&amp;L by fund - YTD'!$I$138,'P&amp;L by fund - YTD'!$K$138,'P&amp;L by fund - YTD'!$M$138</definedName>
    <definedName name="QB_FORMULA_33" localSheetId="2" hidden="1">'P&amp;L by fund - QTD'!$AA$142,'P&amp;L by fund - QTD'!$AC$142,'P&amp;L by fund - QTD'!$AE$142,'P&amp;L by fund - QTD'!$AG$142,'P&amp;L by fund - QTD'!$AI$142,'P&amp;L by fund - QTD'!$AK$142,'P&amp;L by fund - QTD'!$AM$142,'P&amp;L by fund - QTD'!$AO$142,'P&amp;L by fund - QTD'!$AQ$142,'P&amp;L by fund - QTD'!$AS$142,'P&amp;L by fund - QTD'!$AU$142,'P&amp;L by fund - QTD'!$AW$142,'P&amp;L by fund - QTD'!$AW$144,'P&amp;L by fund - QTD'!$G$145,'P&amp;L by fund - QTD'!$I$145,'P&amp;L by fund - QTD'!$K$145</definedName>
    <definedName name="QB_FORMULA_33" localSheetId="3" hidden="1">'P&amp;L by fund - YTD'!$O$138,'P&amp;L by fund - YTD'!$Q$138,'P&amp;L by fund - YTD'!$S$138,'P&amp;L by fund - YTD'!$U$138,'P&amp;L by fund - YTD'!$W$138,'P&amp;L by fund - YTD'!$Y$138,'P&amp;L by fund - YTD'!$AA$138,'P&amp;L by fund - YTD'!$AC$138,'P&amp;L by fund - YTD'!$AE$138,'P&amp;L by fund - YTD'!$AG$138,'P&amp;L by fund - YTD'!$AI$138,'P&amp;L by fund - YTD'!$AK$138,'P&amp;L by fund - YTD'!$AM$138,'P&amp;L by fund - YTD'!$AO$138,'P&amp;L by fund - YTD'!$AQ$138,'P&amp;L by fund - YTD'!$AS$138</definedName>
    <definedName name="QB_FORMULA_34" localSheetId="2" hidden="1">'P&amp;L by fund - QTD'!$M$145,'P&amp;L by fund - QTD'!$O$145,'P&amp;L by fund - QTD'!$Q$145,'P&amp;L by fund - QTD'!$S$145,'P&amp;L by fund - QTD'!$U$145,'P&amp;L by fund - QTD'!$W$145,'P&amp;L by fund - QTD'!$Y$145,'P&amp;L by fund - QTD'!$AA$145,'P&amp;L by fund - QTD'!$AC$145,'P&amp;L by fund - QTD'!$AE$145,'P&amp;L by fund - QTD'!$AG$145,'P&amp;L by fund - QTD'!$AI$145,'P&amp;L by fund - QTD'!$AK$145,'P&amp;L by fund - QTD'!$AM$145,'P&amp;L by fund - QTD'!$AO$145,'P&amp;L by fund - QTD'!$AQ$145</definedName>
    <definedName name="QB_FORMULA_34" localSheetId="3" hidden="1">'P&amp;L by fund - YTD'!$AU$138,'P&amp;L by fund - YTD'!$AW$138,'P&amp;L by fund - YTD'!$AY$138,'P&amp;L by fund - YTD'!$BA$138,'P&amp;L by fund - YTD'!$BC$138,'P&amp;L by fund - YTD'!$BE$138,'P&amp;L by fund - YTD'!$BG$138,'P&amp;L by fund - YTD'!$BI$138,'P&amp;L by fund - YTD'!$BK$138,'P&amp;L by fund - YTD'!$BM$138,'P&amp;L by fund - YTD'!$BO$138,'P&amp;L by fund - YTD'!$BQ$138,'P&amp;L by fund - YTD'!$BQ$140,'P&amp;L by fund - YTD'!$G$141,'P&amp;L by fund - YTD'!$I$141,'P&amp;L by fund - YTD'!$K$141</definedName>
    <definedName name="QB_FORMULA_35" localSheetId="2" hidden="1">'P&amp;L by fund - QTD'!$AS$145,'P&amp;L by fund - QTD'!$AU$145,'P&amp;L by fund - QTD'!$AW$145,'P&amp;L by fund - QTD'!$AW$147,'P&amp;L by fund - QTD'!$G$148,'P&amp;L by fund - QTD'!$I$148,'P&amp;L by fund - QTD'!$K$148,'P&amp;L by fund - QTD'!$M$148,'P&amp;L by fund - QTD'!$O$148,'P&amp;L by fund - QTD'!$Q$148,'P&amp;L by fund - QTD'!$S$148,'P&amp;L by fund - QTD'!$U$148,'P&amp;L by fund - QTD'!$W$148,'P&amp;L by fund - QTD'!$Y$148,'P&amp;L by fund - QTD'!$AA$148,'P&amp;L by fund - QTD'!$AC$148</definedName>
    <definedName name="QB_FORMULA_35" localSheetId="3" hidden="1">'P&amp;L by fund - YTD'!$M$141,'P&amp;L by fund - YTD'!$O$141,'P&amp;L by fund - YTD'!$Q$141,'P&amp;L by fund - YTD'!$S$141,'P&amp;L by fund - YTD'!$U$141,'P&amp;L by fund - YTD'!$W$141,'P&amp;L by fund - YTD'!$Y$141,'P&amp;L by fund - YTD'!$AA$141,'P&amp;L by fund - YTD'!$AC$141,'P&amp;L by fund - YTD'!$AE$141,'P&amp;L by fund - YTD'!$AG$141,'P&amp;L by fund - YTD'!$AI$141,'P&amp;L by fund - YTD'!$AK$141,'P&amp;L by fund - YTD'!$AM$141,'P&amp;L by fund - YTD'!$AO$141,'P&amp;L by fund - YTD'!$AQ$141</definedName>
    <definedName name="QB_FORMULA_36" localSheetId="2" hidden="1">'P&amp;L by fund - QTD'!$AE$148,'P&amp;L by fund - QTD'!$AG$148,'P&amp;L by fund - QTD'!$AI$148,'P&amp;L by fund - QTD'!$AK$148,'P&amp;L by fund - QTD'!$AM$148,'P&amp;L by fund - QTD'!$AO$148,'P&amp;L by fund - QTD'!$AQ$148,'P&amp;L by fund - QTD'!$AS$148,'P&amp;L by fund - QTD'!$AU$148,'P&amp;L by fund - QTD'!$AW$148,'P&amp;L by fund - QTD'!$AW$150,'P&amp;L by fund - QTD'!$G$151,'P&amp;L by fund - QTD'!$I$151,'P&amp;L by fund - QTD'!$K$151,'P&amp;L by fund - QTD'!$M$151,'P&amp;L by fund - QTD'!$O$151</definedName>
    <definedName name="QB_FORMULA_36" localSheetId="3" hidden="1">'P&amp;L by fund - YTD'!$AS$141,'P&amp;L by fund - YTD'!$AU$141,'P&amp;L by fund - YTD'!$AW$141,'P&amp;L by fund - YTD'!$AY$141,'P&amp;L by fund - YTD'!$BA$141,'P&amp;L by fund - YTD'!$BC$141,'P&amp;L by fund - YTD'!$BE$141,'P&amp;L by fund - YTD'!$BG$141,'P&amp;L by fund - YTD'!$BI$141,'P&amp;L by fund - YTD'!$BK$141,'P&amp;L by fund - YTD'!$BM$141,'P&amp;L by fund - YTD'!$BO$141,'P&amp;L by fund - YTD'!$BQ$141,'P&amp;L by fund - YTD'!$BQ$143,'P&amp;L by fund - YTD'!$G$144,'P&amp;L by fund - YTD'!$I$144</definedName>
    <definedName name="QB_FORMULA_37" localSheetId="2" hidden="1">'P&amp;L by fund - QTD'!$Q$151,'P&amp;L by fund - QTD'!$S$151,'P&amp;L by fund - QTD'!$U$151,'P&amp;L by fund - QTD'!$W$151,'P&amp;L by fund - QTD'!$Y$151,'P&amp;L by fund - QTD'!$AA$151,'P&amp;L by fund - QTD'!$AC$151,'P&amp;L by fund - QTD'!$AE$151,'P&amp;L by fund - QTD'!$AG$151,'P&amp;L by fund - QTD'!$AI$151,'P&amp;L by fund - QTD'!$AK$151,'P&amp;L by fund - QTD'!$AM$151,'P&amp;L by fund - QTD'!$AO$151,'P&amp;L by fund - QTD'!$AQ$151,'P&amp;L by fund - QTD'!$AS$151,'P&amp;L by fund - QTD'!$AU$151</definedName>
    <definedName name="QB_FORMULA_37" localSheetId="3" hidden="1">'P&amp;L by fund - YTD'!$K$144,'P&amp;L by fund - YTD'!$M$144,'P&amp;L by fund - YTD'!$O$144,'P&amp;L by fund - YTD'!$Q$144,'P&amp;L by fund - YTD'!$S$144,'P&amp;L by fund - YTD'!$U$144,'P&amp;L by fund - YTD'!$W$144,'P&amp;L by fund - YTD'!$Y$144,'P&amp;L by fund - YTD'!$AA$144,'P&amp;L by fund - YTD'!$AC$144,'P&amp;L by fund - YTD'!$AE$144,'P&amp;L by fund - YTD'!$AG$144,'P&amp;L by fund - YTD'!$AI$144,'P&amp;L by fund - YTD'!$AK$144,'P&amp;L by fund - YTD'!$AM$144,'P&amp;L by fund - YTD'!$AO$144</definedName>
    <definedName name="QB_FORMULA_38" localSheetId="2" hidden="1">'P&amp;L by fund - QTD'!$AW$151,'P&amp;L by fund - QTD'!$AW$153,'P&amp;L by fund - QTD'!$AW$154,'P&amp;L by fund - QTD'!$AW$155,'P&amp;L by fund - QTD'!$AW$156,'P&amp;L by fund - QTD'!$AW$157,'P&amp;L by fund - QTD'!$AW$158,'P&amp;L by fund - QTD'!$G$159,'P&amp;L by fund - QTD'!$I$159,'P&amp;L by fund - QTD'!$K$159,'P&amp;L by fund - QTD'!$M$159,'P&amp;L by fund - QTD'!$O$159,'P&amp;L by fund - QTD'!$Q$159,'P&amp;L by fund - QTD'!$S$159,'P&amp;L by fund - QTD'!$U$159,'P&amp;L by fund - QTD'!$W$159</definedName>
    <definedName name="QB_FORMULA_38" localSheetId="3" hidden="1">'P&amp;L by fund - YTD'!$AQ$144,'P&amp;L by fund - YTD'!$AS$144,'P&amp;L by fund - YTD'!$AU$144,'P&amp;L by fund - YTD'!$AW$144,'P&amp;L by fund - YTD'!$AY$144,'P&amp;L by fund - YTD'!$BA$144,'P&amp;L by fund - YTD'!$BC$144,'P&amp;L by fund - YTD'!$BE$144,'P&amp;L by fund - YTD'!$BG$144,'P&amp;L by fund - YTD'!$BI$144,'P&amp;L by fund - YTD'!$BK$144,'P&amp;L by fund - YTD'!$BM$144,'P&amp;L by fund - YTD'!$BO$144,'P&amp;L by fund - YTD'!$BQ$144,'P&amp;L by fund - YTD'!$BQ$146,'P&amp;L by fund - YTD'!$BQ$147</definedName>
    <definedName name="QB_FORMULA_39" localSheetId="2" hidden="1">'P&amp;L by fund - QTD'!$Y$159,'P&amp;L by fund - QTD'!$AA$159,'P&amp;L by fund - QTD'!$AC$159,'P&amp;L by fund - QTD'!$AE$159,'P&amp;L by fund - QTD'!$AG$159,'P&amp;L by fund - QTD'!$AI$159,'P&amp;L by fund - QTD'!$AK$159,'P&amp;L by fund - QTD'!$AM$159,'P&amp;L by fund - QTD'!$AO$159,'P&amp;L by fund - QTD'!$AQ$159,'P&amp;L by fund - QTD'!$AS$159,'P&amp;L by fund - QTD'!$AU$159,'P&amp;L by fund - QTD'!$AW$159,'P&amp;L by fund - QTD'!$AW$161,'P&amp;L by fund - QTD'!$AW$162,'P&amp;L by fund - QTD'!$AW$163</definedName>
    <definedName name="QB_FORMULA_39" localSheetId="3" hidden="1">'P&amp;L by fund - YTD'!$G$148,'P&amp;L by fund - YTD'!$I$148,'P&amp;L by fund - YTD'!$K$148,'P&amp;L by fund - YTD'!$M$148,'P&amp;L by fund - YTD'!$O$148,'P&amp;L by fund - YTD'!$Q$148,'P&amp;L by fund - YTD'!$S$148,'P&amp;L by fund - YTD'!$U$148,'P&amp;L by fund - YTD'!$W$148,'P&amp;L by fund - YTD'!$Y$148,'P&amp;L by fund - YTD'!$AA$148,'P&amp;L by fund - YTD'!$AC$148,'P&amp;L by fund - YTD'!$AE$148,'P&amp;L by fund - YTD'!$AG$148,'P&amp;L by fund - YTD'!$AI$148,'P&amp;L by fund - YTD'!$AK$148</definedName>
    <definedName name="QB_FORMULA_4" localSheetId="4" hidden="1">'Budget V Actual - YTD'!$K$36,'Budget V Actual - YTD'!$M$36,'Budget V Actual - YTD'!$G$37,'Budget V Actual - YTD'!$I$37,'Budget V Actual - YTD'!$K$37,'Budget V Actual - YTD'!$M$37,'Budget V Actual - YTD'!$K$39,'Budget V Actual - YTD'!$M$39,'Budget V Actual - YTD'!$K$40,'Budget V Actual - YTD'!$M$40,'Budget V Actual - YTD'!$K$42,'Budget V Actual - YTD'!$M$42,'Budget V Actual - YTD'!$K$43,'Budget V Actual - YTD'!$M$43,'Budget V Actual - YTD'!$K$44,'Budget V Actual - YTD'!$M$44</definedName>
    <definedName name="QB_FORMULA_4" localSheetId="1" hidden="1">'P&amp;L'!$G$240,'P&amp;L'!$I$240,'P&amp;L'!$G$243,'P&amp;L'!$I$243,'P&amp;L'!$G$244,'P&amp;L'!$I$244,'P&amp;L'!$G$245,'P&amp;L'!$I$245,'P&amp;L'!$G$249,'P&amp;L'!$I$249,'P&amp;L'!$G$250,'P&amp;L'!$I$250,'P&amp;L'!$G$251,'P&amp;L'!$I$251</definedName>
    <definedName name="QB_FORMULA_4" localSheetId="2" hidden="1">'P&amp;L by fund - QTD'!$AW$28,'P&amp;L by fund - QTD'!$AW$29,'P&amp;L by fund - QTD'!$AW$30,'P&amp;L by fund - QTD'!$AW$31,'P&amp;L by fund - QTD'!$AW$32,'P&amp;L by fund - QTD'!$AW$33,'P&amp;L by fund - QTD'!$AW$34,'P&amp;L by fund - QTD'!$AW$35,'P&amp;L by fund - QTD'!$AW$36,'P&amp;L by fund - QTD'!$AW$37,'P&amp;L by fund - QTD'!$AW$38,'P&amp;L by fund - QTD'!$AW$39,'P&amp;L by fund - QTD'!$AW$40,'P&amp;L by fund - QTD'!$AW$41,'P&amp;L by fund - QTD'!$AW$42,'P&amp;L by fund - QTD'!$AW$43</definedName>
    <definedName name="QB_FORMULA_4" localSheetId="3" hidden="1">'P&amp;L by fund - YTD'!$U$31,'P&amp;L by fund - YTD'!$W$31,'P&amp;L by fund - YTD'!$Y$31,'P&amp;L by fund - YTD'!$AA$31,'P&amp;L by fund - YTD'!$AC$31,'P&amp;L by fund - YTD'!$AE$31,'P&amp;L by fund - YTD'!$AG$31,'P&amp;L by fund - YTD'!$AI$31,'P&amp;L by fund - YTD'!$AK$31,'P&amp;L by fund - YTD'!$AM$31,'P&amp;L by fund - YTD'!$AO$31,'P&amp;L by fund - YTD'!$AQ$31,'P&amp;L by fund - YTD'!$AS$31,'P&amp;L by fund - YTD'!$AU$31,'P&amp;L by fund - YTD'!$AW$31,'P&amp;L by fund - YTD'!$AY$31</definedName>
    <definedName name="QB_FORMULA_40" localSheetId="2" hidden="1">'P&amp;L by fund - QTD'!$AW$164,'P&amp;L by fund - QTD'!$AW$165,'P&amp;L by fund - QTD'!$G$166,'P&amp;L by fund - QTD'!$I$166,'P&amp;L by fund - QTD'!$K$166,'P&amp;L by fund - QTD'!$M$166,'P&amp;L by fund - QTD'!$O$166,'P&amp;L by fund - QTD'!$Q$166,'P&amp;L by fund - QTD'!$S$166,'P&amp;L by fund - QTD'!$U$166,'P&amp;L by fund - QTD'!$W$166,'P&amp;L by fund - QTD'!$Y$166,'P&amp;L by fund - QTD'!$AA$166,'P&amp;L by fund - QTD'!$AC$166,'P&amp;L by fund - QTD'!$AE$166,'P&amp;L by fund - QTD'!$AG$166</definedName>
    <definedName name="QB_FORMULA_40" localSheetId="3" hidden="1">'P&amp;L by fund - YTD'!$AM$148,'P&amp;L by fund - YTD'!$AO$148,'P&amp;L by fund - YTD'!$AQ$148,'P&amp;L by fund - YTD'!$AS$148,'P&amp;L by fund - YTD'!$AU$148,'P&amp;L by fund - YTD'!$AW$148,'P&amp;L by fund - YTD'!$AY$148,'P&amp;L by fund - YTD'!$BA$148,'P&amp;L by fund - YTD'!$BC$148,'P&amp;L by fund - YTD'!$BE$148,'P&amp;L by fund - YTD'!$BG$148,'P&amp;L by fund - YTD'!$BI$148,'P&amp;L by fund - YTD'!$BK$148,'P&amp;L by fund - YTD'!$BM$148,'P&amp;L by fund - YTD'!$BO$148,'P&amp;L by fund - YTD'!$BQ$148</definedName>
    <definedName name="QB_FORMULA_41" localSheetId="2" hidden="1">'P&amp;L by fund - QTD'!$AI$166,'P&amp;L by fund - QTD'!$AK$166,'P&amp;L by fund - QTD'!$AM$166,'P&amp;L by fund - QTD'!$AO$166,'P&amp;L by fund - QTD'!$AQ$166,'P&amp;L by fund - QTD'!$AS$166,'P&amp;L by fund - QTD'!$AU$166,'P&amp;L by fund - QTD'!$AW$166,'P&amp;L by fund - QTD'!$AW$168,'P&amp;L by fund - QTD'!$G$169,'P&amp;L by fund - QTD'!$I$169,'P&amp;L by fund - QTD'!$K$169,'P&amp;L by fund - QTD'!$M$169,'P&amp;L by fund - QTD'!$O$169,'P&amp;L by fund - QTD'!$Q$169,'P&amp;L by fund - QTD'!$S$169</definedName>
    <definedName name="QB_FORMULA_41" localSheetId="3" hidden="1">'P&amp;L by fund - YTD'!$BQ$150,'P&amp;L by fund - YTD'!$G$151,'P&amp;L by fund - YTD'!$I$151,'P&amp;L by fund - YTD'!$K$151,'P&amp;L by fund - YTD'!$M$151,'P&amp;L by fund - YTD'!$O$151,'P&amp;L by fund - YTD'!$Q$151,'P&amp;L by fund - YTD'!$S$151,'P&amp;L by fund - YTD'!$U$151,'P&amp;L by fund - YTD'!$W$151,'P&amp;L by fund - YTD'!$Y$151,'P&amp;L by fund - YTD'!$AA$151,'P&amp;L by fund - YTD'!$AC$151,'P&amp;L by fund - YTD'!$AE$151,'P&amp;L by fund - YTD'!$AG$151,'P&amp;L by fund - YTD'!$AI$151</definedName>
    <definedName name="QB_FORMULA_42" localSheetId="2" hidden="1">'P&amp;L by fund - QTD'!$U$169,'P&amp;L by fund - QTD'!$W$169,'P&amp;L by fund - QTD'!$Y$169,'P&amp;L by fund - QTD'!$AA$169,'P&amp;L by fund - QTD'!$AC$169,'P&amp;L by fund - QTD'!$AE$169,'P&amp;L by fund - QTD'!$AG$169,'P&amp;L by fund - QTD'!$AI$169,'P&amp;L by fund - QTD'!$AK$169,'P&amp;L by fund - QTD'!$AM$169,'P&amp;L by fund - QTD'!$AO$169,'P&amp;L by fund - QTD'!$AQ$169,'P&amp;L by fund - QTD'!$AS$169,'P&amp;L by fund - QTD'!$AU$169,'P&amp;L by fund - QTD'!$AW$169,'P&amp;L by fund - QTD'!$AW$171</definedName>
    <definedName name="QB_FORMULA_42" localSheetId="3" hidden="1">'P&amp;L by fund - YTD'!$AK$151,'P&amp;L by fund - YTD'!$AM$151,'P&amp;L by fund - YTD'!$AO$151,'P&amp;L by fund - YTD'!$AQ$151,'P&amp;L by fund - YTD'!$AS$151,'P&amp;L by fund - YTD'!$AU$151,'P&amp;L by fund - YTD'!$AW$151,'P&amp;L by fund - YTD'!$AY$151,'P&amp;L by fund - YTD'!$BA$151,'P&amp;L by fund - YTD'!$BC$151,'P&amp;L by fund - YTD'!$BE$151,'P&amp;L by fund - YTD'!$BG$151,'P&amp;L by fund - YTD'!$BI$151,'P&amp;L by fund - YTD'!$BK$151,'P&amp;L by fund - YTD'!$BM$151,'P&amp;L by fund - YTD'!$BO$151</definedName>
    <definedName name="QB_FORMULA_43" localSheetId="2" hidden="1">'P&amp;L by fund - QTD'!$G$172,'P&amp;L by fund - QTD'!$I$172,'P&amp;L by fund - QTD'!$K$172,'P&amp;L by fund - QTD'!$M$172,'P&amp;L by fund - QTD'!$O$172,'P&amp;L by fund - QTD'!$Q$172,'P&amp;L by fund - QTD'!$S$172,'P&amp;L by fund - QTD'!$U$172,'P&amp;L by fund - QTD'!$W$172,'P&amp;L by fund - QTD'!$Y$172,'P&amp;L by fund - QTD'!$AA$172,'P&amp;L by fund - QTD'!$AC$172,'P&amp;L by fund - QTD'!$AE$172,'P&amp;L by fund - QTD'!$AG$172,'P&amp;L by fund - QTD'!$AI$172,'P&amp;L by fund - QTD'!$AK$172</definedName>
    <definedName name="QB_FORMULA_43" localSheetId="3" hidden="1">'P&amp;L by fund - YTD'!$BQ$151,'P&amp;L by fund - YTD'!$BQ$153,'P&amp;L by fund - YTD'!$G$154,'P&amp;L by fund - YTD'!$I$154,'P&amp;L by fund - YTD'!$K$154,'P&amp;L by fund - YTD'!$M$154,'P&amp;L by fund - YTD'!$O$154,'P&amp;L by fund - YTD'!$Q$154,'P&amp;L by fund - YTD'!$S$154,'P&amp;L by fund - YTD'!$U$154,'P&amp;L by fund - YTD'!$W$154,'P&amp;L by fund - YTD'!$Y$154,'P&amp;L by fund - YTD'!$AA$154,'P&amp;L by fund - YTD'!$AC$154,'P&amp;L by fund - YTD'!$AE$154,'P&amp;L by fund - YTD'!$AG$154</definedName>
    <definedName name="QB_FORMULA_44" localSheetId="2" hidden="1">'P&amp;L by fund - QTD'!$AM$172,'P&amp;L by fund - QTD'!$AO$172,'P&amp;L by fund - QTD'!$AQ$172,'P&amp;L by fund - QTD'!$AS$172,'P&amp;L by fund - QTD'!$AU$172,'P&amp;L by fund - QTD'!$AW$172,'P&amp;L by fund - QTD'!$AW$174,'P&amp;L by fund - QTD'!$G$175,'P&amp;L by fund - QTD'!$I$175,'P&amp;L by fund - QTD'!$K$175,'P&amp;L by fund - QTD'!$M$175,'P&amp;L by fund - QTD'!$O$175,'P&amp;L by fund - QTD'!$Q$175,'P&amp;L by fund - QTD'!$S$175,'P&amp;L by fund - QTD'!$U$175,'P&amp;L by fund - QTD'!$W$175</definedName>
    <definedName name="QB_FORMULA_44" localSheetId="3" hidden="1">'P&amp;L by fund - YTD'!$AI$154,'P&amp;L by fund - YTD'!$AK$154,'P&amp;L by fund - YTD'!$AM$154,'P&amp;L by fund - YTD'!$AO$154,'P&amp;L by fund - YTD'!$AQ$154,'P&amp;L by fund - YTD'!$AS$154,'P&amp;L by fund - YTD'!$AU$154,'P&amp;L by fund - YTD'!$AW$154,'P&amp;L by fund - YTD'!$AY$154,'P&amp;L by fund - YTD'!$BA$154,'P&amp;L by fund - YTD'!$BC$154,'P&amp;L by fund - YTD'!$BE$154,'P&amp;L by fund - YTD'!$BG$154,'P&amp;L by fund - YTD'!$BI$154,'P&amp;L by fund - YTD'!$BK$154,'P&amp;L by fund - YTD'!$BM$154</definedName>
    <definedName name="QB_FORMULA_45" localSheetId="2" hidden="1">'P&amp;L by fund - QTD'!$Y$175,'P&amp;L by fund - QTD'!$AA$175,'P&amp;L by fund - QTD'!$AC$175,'P&amp;L by fund - QTD'!$AE$175,'P&amp;L by fund - QTD'!$AG$175,'P&amp;L by fund - QTD'!$AI$175,'P&amp;L by fund - QTD'!$AK$175,'P&amp;L by fund - QTD'!$AM$175,'P&amp;L by fund - QTD'!$AO$175,'P&amp;L by fund - QTD'!$AQ$175,'P&amp;L by fund - QTD'!$AS$175,'P&amp;L by fund - QTD'!$AU$175,'P&amp;L by fund - QTD'!$AW$175,'P&amp;L by fund - QTD'!$AW$177,'P&amp;L by fund - QTD'!$AW$178,'P&amp;L by fund - QTD'!$AW$179</definedName>
    <definedName name="QB_FORMULA_45" localSheetId="3" hidden="1">'P&amp;L by fund - YTD'!$BO$154,'P&amp;L by fund - YTD'!$BQ$154,'P&amp;L by fund - YTD'!$BQ$156,'P&amp;L by fund - YTD'!$BQ$157,'P&amp;L by fund - YTD'!$BQ$158,'P&amp;L by fund - YTD'!$BQ$159,'P&amp;L by fund - YTD'!$G$160,'P&amp;L by fund - YTD'!$I$160,'P&amp;L by fund - YTD'!$K$160,'P&amp;L by fund - YTD'!$M$160,'P&amp;L by fund - YTD'!$O$160,'P&amp;L by fund - YTD'!$Q$160,'P&amp;L by fund - YTD'!$S$160,'P&amp;L by fund - YTD'!$U$160,'P&amp;L by fund - YTD'!$W$160,'P&amp;L by fund - YTD'!$Y$160</definedName>
    <definedName name="QB_FORMULA_46" localSheetId="2" hidden="1">'P&amp;L by fund - QTD'!$AW$180,'P&amp;L by fund - QTD'!$AW$181,'P&amp;L by fund - QTD'!$G$182,'P&amp;L by fund - QTD'!$I$182,'P&amp;L by fund - QTD'!$K$182,'P&amp;L by fund - QTD'!$M$182,'P&amp;L by fund - QTD'!$O$182,'P&amp;L by fund - QTD'!$Q$182,'P&amp;L by fund - QTD'!$S$182,'P&amp;L by fund - QTD'!$U$182,'P&amp;L by fund - QTD'!$W$182,'P&amp;L by fund - QTD'!$Y$182,'P&amp;L by fund - QTD'!$AA$182,'P&amp;L by fund - QTD'!$AC$182,'P&amp;L by fund - QTD'!$AE$182,'P&amp;L by fund - QTD'!$AG$182</definedName>
    <definedName name="QB_FORMULA_46" localSheetId="3" hidden="1">'P&amp;L by fund - YTD'!$AA$160,'P&amp;L by fund - YTD'!$AC$160,'P&amp;L by fund - YTD'!$AE$160,'P&amp;L by fund - YTD'!$AG$160,'P&amp;L by fund - YTD'!$AI$160,'P&amp;L by fund - YTD'!$AK$160,'P&amp;L by fund - YTD'!$AM$160,'P&amp;L by fund - YTD'!$AO$160,'P&amp;L by fund - YTD'!$AQ$160,'P&amp;L by fund - YTD'!$AS$160,'P&amp;L by fund - YTD'!$AU$160,'P&amp;L by fund - YTD'!$AW$160,'P&amp;L by fund - YTD'!$AY$160,'P&amp;L by fund - YTD'!$BA$160,'P&amp;L by fund - YTD'!$BC$160,'P&amp;L by fund - YTD'!$BE$160</definedName>
    <definedName name="QB_FORMULA_47" localSheetId="2" hidden="1">'P&amp;L by fund - QTD'!$AI$182,'P&amp;L by fund - QTD'!$AK$182,'P&amp;L by fund - QTD'!$AM$182,'P&amp;L by fund - QTD'!$AO$182,'P&amp;L by fund - QTD'!$AQ$182,'P&amp;L by fund - QTD'!$AS$182,'P&amp;L by fund - QTD'!$AU$182,'P&amp;L by fund - QTD'!$AW$182,'P&amp;L by fund - QTD'!$G$183,'P&amp;L by fund - QTD'!$I$183,'P&amp;L by fund - QTD'!$K$183,'P&amp;L by fund - QTD'!$M$183,'P&amp;L by fund - QTD'!$O$183,'P&amp;L by fund - QTD'!$Q$183,'P&amp;L by fund - QTD'!$S$183,'P&amp;L by fund - QTD'!$U$183</definedName>
    <definedName name="QB_FORMULA_47" localSheetId="3" hidden="1">'P&amp;L by fund - YTD'!$BG$160,'P&amp;L by fund - YTD'!$BI$160,'P&amp;L by fund - YTD'!$BK$160,'P&amp;L by fund - YTD'!$BM$160,'P&amp;L by fund - YTD'!$BO$160,'P&amp;L by fund - YTD'!$BQ$160,'P&amp;L by fund - YTD'!$BQ$162,'P&amp;L by fund - YTD'!$BQ$163,'P&amp;L by fund - YTD'!$BQ$164,'P&amp;L by fund - YTD'!$BQ$165,'P&amp;L by fund - YTD'!$BQ$166,'P&amp;L by fund - YTD'!$BQ$167,'P&amp;L by fund - YTD'!$BQ$168,'P&amp;L by fund - YTD'!$BQ$169,'P&amp;L by fund - YTD'!$BQ$170,'P&amp;L by fund - YTD'!$BQ$171</definedName>
    <definedName name="QB_FORMULA_48" localSheetId="2" hidden="1">'P&amp;L by fund - QTD'!$W$183,'P&amp;L by fund - QTD'!$Y$183,'P&amp;L by fund - QTD'!$AA$183,'P&amp;L by fund - QTD'!$AC$183,'P&amp;L by fund - QTD'!$AE$183,'P&amp;L by fund - QTD'!$AG$183,'P&amp;L by fund - QTD'!$AI$183,'P&amp;L by fund - QTD'!$AK$183,'P&amp;L by fund - QTD'!$AM$183,'P&amp;L by fund - QTD'!$AO$183,'P&amp;L by fund - QTD'!$AQ$183,'P&amp;L by fund - QTD'!$AS$183,'P&amp;L by fund - QTD'!$AU$183,'P&amp;L by fund - QTD'!$AW$183,'P&amp;L by fund - QTD'!$G$184,'P&amp;L by fund - QTD'!$I$184</definedName>
    <definedName name="QB_FORMULA_48" localSheetId="3" hidden="1">'P&amp;L by fund - YTD'!$BQ$172,'P&amp;L by fund - YTD'!$BQ$173,'P&amp;L by fund - YTD'!$BQ$174,'P&amp;L by fund - YTD'!$BQ$175,'P&amp;L by fund - YTD'!$G$176,'P&amp;L by fund - YTD'!$I$176,'P&amp;L by fund - YTD'!$K$176,'P&amp;L by fund - YTD'!$M$176,'P&amp;L by fund - YTD'!$O$176,'P&amp;L by fund - YTD'!$Q$176,'P&amp;L by fund - YTD'!$S$176,'P&amp;L by fund - YTD'!$U$176,'P&amp;L by fund - YTD'!$W$176,'P&amp;L by fund - YTD'!$Y$176,'P&amp;L by fund - YTD'!$AA$176,'P&amp;L by fund - YTD'!$AC$176</definedName>
    <definedName name="QB_FORMULA_49" localSheetId="2" hidden="1">'P&amp;L by fund - QTD'!$K$184,'P&amp;L by fund - QTD'!$M$184,'P&amp;L by fund - QTD'!$O$184,'P&amp;L by fund - QTD'!$Q$184,'P&amp;L by fund - QTD'!$S$184,'P&amp;L by fund - QTD'!$U$184,'P&amp;L by fund - QTD'!$W$184,'P&amp;L by fund - QTD'!$Y$184,'P&amp;L by fund - QTD'!$AA$184,'P&amp;L by fund - QTD'!$AC$184,'P&amp;L by fund - QTD'!$AE$184,'P&amp;L by fund - QTD'!$AG$184,'P&amp;L by fund - QTD'!$AI$184,'P&amp;L by fund - QTD'!$AK$184,'P&amp;L by fund - QTD'!$AM$184,'P&amp;L by fund - QTD'!$AO$184</definedName>
    <definedName name="QB_FORMULA_49" localSheetId="3" hidden="1">'P&amp;L by fund - YTD'!$AE$176,'P&amp;L by fund - YTD'!$AG$176,'P&amp;L by fund - YTD'!$AI$176,'P&amp;L by fund - YTD'!$AK$176,'P&amp;L by fund - YTD'!$AM$176,'P&amp;L by fund - YTD'!$AO$176,'P&amp;L by fund - YTD'!$AQ$176,'P&amp;L by fund - YTD'!$AS$176,'P&amp;L by fund - YTD'!$AU$176,'P&amp;L by fund - YTD'!$AW$176,'P&amp;L by fund - YTD'!$AY$176,'P&amp;L by fund - YTD'!$BA$176,'P&amp;L by fund - YTD'!$BC$176,'P&amp;L by fund - YTD'!$BE$176,'P&amp;L by fund - YTD'!$BG$176,'P&amp;L by fund - YTD'!$BI$176</definedName>
    <definedName name="QB_FORMULA_5" localSheetId="4" hidden="1">'Budget V Actual - YTD'!$K$45,'Budget V Actual - YTD'!$M$45,'Budget V Actual - YTD'!$K$46,'Budget V Actual - YTD'!$M$46,'Budget V Actual - YTD'!$K$47,'Budget V Actual - YTD'!$M$47,'Budget V Actual - YTD'!$K$48,'Budget V Actual - YTD'!$M$48,'Budget V Actual - YTD'!$K$49,'Budget V Actual - YTD'!$M$49,'Budget V Actual - YTD'!$K$50,'Budget V Actual - YTD'!$M$50,'Budget V Actual - YTD'!$K$51,'Budget V Actual - YTD'!$M$51,'Budget V Actual - YTD'!$K$52,'Budget V Actual - YTD'!$M$52</definedName>
    <definedName name="QB_FORMULA_5" localSheetId="2" hidden="1">'P&amp;L by fund - QTD'!$AW$44,'P&amp;L by fund - QTD'!$AW$45,'P&amp;L by fund - QTD'!$AW$46,'P&amp;L by fund - QTD'!$AW$47,'P&amp;L by fund - QTD'!$AW$48,'P&amp;L by fund - QTD'!$AW$49,'P&amp;L by fund - QTD'!$AW$50,'P&amp;L by fund - QTD'!$AW$51,'P&amp;L by fund - QTD'!$G$52,'P&amp;L by fund - QTD'!$I$52,'P&amp;L by fund - QTD'!$K$52,'P&amp;L by fund - QTD'!$M$52,'P&amp;L by fund - QTD'!$O$52,'P&amp;L by fund - QTD'!$Q$52,'P&amp;L by fund - QTD'!$S$52,'P&amp;L by fund - QTD'!$U$52</definedName>
    <definedName name="QB_FORMULA_5" localSheetId="3" hidden="1">'P&amp;L by fund - YTD'!$BA$31,'P&amp;L by fund - YTD'!$BC$31,'P&amp;L by fund - YTD'!$BE$31,'P&amp;L by fund - YTD'!$BG$31,'P&amp;L by fund - YTD'!$BI$31,'P&amp;L by fund - YTD'!$BK$31,'P&amp;L by fund - YTD'!$BM$31,'P&amp;L by fund - YTD'!$BO$31,'P&amp;L by fund - YTD'!$BQ$31,'P&amp;L by fund - YTD'!$G$32,'P&amp;L by fund - YTD'!$I$32,'P&amp;L by fund - YTD'!$K$32,'P&amp;L by fund - YTD'!$M$32,'P&amp;L by fund - YTD'!$O$32,'P&amp;L by fund - YTD'!$Q$32,'P&amp;L by fund - YTD'!$S$32</definedName>
    <definedName name="QB_FORMULA_50" localSheetId="2" hidden="1">'P&amp;L by fund - QTD'!$AQ$184,'P&amp;L by fund - QTD'!$AS$184,'P&amp;L by fund - QTD'!$AU$184,'P&amp;L by fund - QTD'!$AW$184,'P&amp;L by fund - QTD'!$AW$187,'P&amp;L by fund - QTD'!$G$188,'P&amp;L by fund - QTD'!$I$188,'P&amp;L by fund - QTD'!$K$188,'P&amp;L by fund - QTD'!$M$188,'P&amp;L by fund - QTD'!$O$188,'P&amp;L by fund - QTD'!$Q$188,'P&amp;L by fund - QTD'!$S$188,'P&amp;L by fund - QTD'!$U$188,'P&amp;L by fund - QTD'!$W$188,'P&amp;L by fund - QTD'!$Y$188,'P&amp;L by fund - QTD'!$AA$188</definedName>
    <definedName name="QB_FORMULA_50" localSheetId="3" hidden="1">'P&amp;L by fund - YTD'!$BK$176,'P&amp;L by fund - YTD'!$BM$176,'P&amp;L by fund - YTD'!$BO$176,'P&amp;L by fund - YTD'!$BQ$176,'P&amp;L by fund - YTD'!$BQ$178,'P&amp;L by fund - YTD'!$G$179,'P&amp;L by fund - YTD'!$I$179,'P&amp;L by fund - YTD'!$K$179,'P&amp;L by fund - YTD'!$M$179,'P&amp;L by fund - YTD'!$O$179,'P&amp;L by fund - YTD'!$Q$179,'P&amp;L by fund - YTD'!$S$179,'P&amp;L by fund - YTD'!$U$179,'P&amp;L by fund - YTD'!$W$179,'P&amp;L by fund - YTD'!$Y$179,'P&amp;L by fund - YTD'!$AA$179</definedName>
    <definedName name="QB_FORMULA_51" localSheetId="2" hidden="1">'P&amp;L by fund - QTD'!$AC$188,'P&amp;L by fund - QTD'!$AE$188,'P&amp;L by fund - QTD'!$AG$188,'P&amp;L by fund - QTD'!$AI$188,'P&amp;L by fund - QTD'!$AK$188,'P&amp;L by fund - QTD'!$AM$188,'P&amp;L by fund - QTD'!$AO$188,'P&amp;L by fund - QTD'!$AQ$188,'P&amp;L by fund - QTD'!$AS$188,'P&amp;L by fund - QTD'!$AU$188,'P&amp;L by fund - QTD'!$AW$188,'P&amp;L by fund - QTD'!$G$189,'P&amp;L by fund - QTD'!$I$189,'P&amp;L by fund - QTD'!$K$189,'P&amp;L by fund - QTD'!$M$189,'P&amp;L by fund - QTD'!$O$189</definedName>
    <definedName name="QB_FORMULA_51" localSheetId="3" hidden="1">'P&amp;L by fund - YTD'!$AC$179,'P&amp;L by fund - YTD'!$AE$179,'P&amp;L by fund - YTD'!$AG$179,'P&amp;L by fund - YTD'!$AI$179,'P&amp;L by fund - YTD'!$AK$179,'P&amp;L by fund - YTD'!$AM$179,'P&amp;L by fund - YTD'!$AO$179,'P&amp;L by fund - YTD'!$AQ$179,'P&amp;L by fund - YTD'!$AS$179,'P&amp;L by fund - YTD'!$AU$179,'P&amp;L by fund - YTD'!$AW$179,'P&amp;L by fund - YTD'!$AY$179,'P&amp;L by fund - YTD'!$BA$179,'P&amp;L by fund - YTD'!$BC$179,'P&amp;L by fund - YTD'!$BE$179,'P&amp;L by fund - YTD'!$BG$179</definedName>
    <definedName name="QB_FORMULA_52" localSheetId="2" hidden="1">'P&amp;L by fund - QTD'!$Q$189,'P&amp;L by fund - QTD'!$S$189,'P&amp;L by fund - QTD'!$U$189,'P&amp;L by fund - QTD'!$W$189,'P&amp;L by fund - QTD'!$Y$189,'P&amp;L by fund - QTD'!$AA$189,'P&amp;L by fund - QTD'!$AC$189,'P&amp;L by fund - QTD'!$AE$189,'P&amp;L by fund - QTD'!$AG$189,'P&amp;L by fund - QTD'!$AI$189,'P&amp;L by fund - QTD'!$AK$189,'P&amp;L by fund - QTD'!$AM$189,'P&amp;L by fund - QTD'!$AO$189,'P&amp;L by fund - QTD'!$AQ$189,'P&amp;L by fund - QTD'!$AS$189,'P&amp;L by fund - QTD'!$AU$189</definedName>
    <definedName name="QB_FORMULA_52" localSheetId="3" hidden="1">'P&amp;L by fund - YTD'!$BI$179,'P&amp;L by fund - YTD'!$BK$179,'P&amp;L by fund - YTD'!$BM$179,'P&amp;L by fund - YTD'!$BO$179,'P&amp;L by fund - YTD'!$BQ$179,'P&amp;L by fund - YTD'!$BQ$181,'P&amp;L by fund - YTD'!$BQ$182,'P&amp;L by fund - YTD'!$G$183,'P&amp;L by fund - YTD'!$I$183,'P&amp;L by fund - YTD'!$K$183,'P&amp;L by fund - YTD'!$M$183,'P&amp;L by fund - YTD'!$O$183,'P&amp;L by fund - YTD'!$Q$183,'P&amp;L by fund - YTD'!$S$183,'P&amp;L by fund - YTD'!$U$183,'P&amp;L by fund - YTD'!$W$183</definedName>
    <definedName name="QB_FORMULA_53" localSheetId="2" hidden="1">'P&amp;L by fund - QTD'!$AW$189,'P&amp;L by fund - QTD'!$G$190,'P&amp;L by fund - QTD'!$I$190,'P&amp;L by fund - QTD'!$K$190,'P&amp;L by fund - QTD'!$M$190,'P&amp;L by fund - QTD'!$O$190,'P&amp;L by fund - QTD'!$Q$190,'P&amp;L by fund - QTD'!$S$190,'P&amp;L by fund - QTD'!$U$190,'P&amp;L by fund - QTD'!$W$190,'P&amp;L by fund - QTD'!$Y$190,'P&amp;L by fund - QTD'!$AA$190,'P&amp;L by fund - QTD'!$AC$190,'P&amp;L by fund - QTD'!$AE$190,'P&amp;L by fund - QTD'!$AG$190,'P&amp;L by fund - QTD'!$AI$190</definedName>
    <definedName name="QB_FORMULA_53" localSheetId="3" hidden="1">'P&amp;L by fund - YTD'!$Y$183,'P&amp;L by fund - YTD'!$AA$183,'P&amp;L by fund - YTD'!$AC$183,'P&amp;L by fund - YTD'!$AE$183,'P&amp;L by fund - YTD'!$AG$183,'P&amp;L by fund - YTD'!$AI$183,'P&amp;L by fund - YTD'!$AK$183,'P&amp;L by fund - YTD'!$AM$183,'P&amp;L by fund - YTD'!$AO$183,'P&amp;L by fund - YTD'!$AQ$183,'P&amp;L by fund - YTD'!$AS$183,'P&amp;L by fund - YTD'!$AU$183,'P&amp;L by fund - YTD'!$AW$183,'P&amp;L by fund - YTD'!$AY$183,'P&amp;L by fund - YTD'!$BA$183,'P&amp;L by fund - YTD'!$BC$183</definedName>
    <definedName name="QB_FORMULA_54" localSheetId="2" hidden="1">'P&amp;L by fund - QTD'!$AK$190,'P&amp;L by fund - QTD'!$AM$190,'P&amp;L by fund - QTD'!$AO$190,'P&amp;L by fund - QTD'!$AQ$190,'P&amp;L by fund - QTD'!$AS$190,'P&amp;L by fund - QTD'!$AU$190,'P&amp;L by fund - QTD'!$AW$190</definedName>
    <definedName name="QB_FORMULA_54" localSheetId="3" hidden="1">'P&amp;L by fund - YTD'!$BE$183,'P&amp;L by fund - YTD'!$BG$183,'P&amp;L by fund - YTD'!$BI$183,'P&amp;L by fund - YTD'!$BK$183,'P&amp;L by fund - YTD'!$BM$183,'P&amp;L by fund - YTD'!$BO$183,'P&amp;L by fund - YTD'!$BQ$183,'P&amp;L by fund - YTD'!$BQ$185,'P&amp;L by fund - YTD'!$G$186,'P&amp;L by fund - YTD'!$I$186,'P&amp;L by fund - YTD'!$K$186,'P&amp;L by fund - YTD'!$M$186,'P&amp;L by fund - YTD'!$O$186,'P&amp;L by fund - YTD'!$Q$186,'P&amp;L by fund - YTD'!$S$186,'P&amp;L by fund - YTD'!$U$186</definedName>
    <definedName name="QB_FORMULA_55" localSheetId="3" hidden="1">'P&amp;L by fund - YTD'!$W$186,'P&amp;L by fund - YTD'!$Y$186,'P&amp;L by fund - YTD'!$AA$186,'P&amp;L by fund - YTD'!$AC$186,'P&amp;L by fund - YTD'!$AE$186,'P&amp;L by fund - YTD'!$AG$186,'P&amp;L by fund - YTD'!$AI$186,'P&amp;L by fund - YTD'!$AK$186,'P&amp;L by fund - YTD'!$AM$186,'P&amp;L by fund - YTD'!$AO$186,'P&amp;L by fund - YTD'!$AQ$186,'P&amp;L by fund - YTD'!$AS$186,'P&amp;L by fund - YTD'!$AU$186,'P&amp;L by fund - YTD'!$AW$186,'P&amp;L by fund - YTD'!$AY$186,'P&amp;L by fund - YTD'!$BA$186</definedName>
    <definedName name="QB_FORMULA_56" localSheetId="3" hidden="1">'P&amp;L by fund - YTD'!$BC$186,'P&amp;L by fund - YTD'!$BE$186,'P&amp;L by fund - YTD'!$BG$186,'P&amp;L by fund - YTD'!$BI$186,'P&amp;L by fund - YTD'!$BK$186,'P&amp;L by fund - YTD'!$BM$186,'P&amp;L by fund - YTD'!$BO$186,'P&amp;L by fund - YTD'!$BQ$186,'P&amp;L by fund - YTD'!$BQ$188,'P&amp;L by fund - YTD'!$BQ$189,'P&amp;L by fund - YTD'!$BQ$190,'P&amp;L by fund - YTD'!$BQ$191,'P&amp;L by fund - YTD'!$BQ$192,'P&amp;L by fund - YTD'!$G$193,'P&amp;L by fund - YTD'!$I$193,'P&amp;L by fund - YTD'!$K$193</definedName>
    <definedName name="QB_FORMULA_57" localSheetId="3" hidden="1">'P&amp;L by fund - YTD'!$M$193,'P&amp;L by fund - YTD'!$O$193,'P&amp;L by fund - YTD'!$Q$193,'P&amp;L by fund - YTD'!$S$193,'P&amp;L by fund - YTD'!$U$193,'P&amp;L by fund - YTD'!$W$193,'P&amp;L by fund - YTD'!$Y$193,'P&amp;L by fund - YTD'!$AA$193,'P&amp;L by fund - YTD'!$AC$193,'P&amp;L by fund - YTD'!$AE$193,'P&amp;L by fund - YTD'!$AG$193,'P&amp;L by fund - YTD'!$AI$193,'P&amp;L by fund - YTD'!$AK$193,'P&amp;L by fund - YTD'!$AM$193,'P&amp;L by fund - YTD'!$AO$193,'P&amp;L by fund - YTD'!$AQ$193</definedName>
    <definedName name="QB_FORMULA_58" localSheetId="3" hidden="1">'P&amp;L by fund - YTD'!$AS$193,'P&amp;L by fund - YTD'!$AU$193,'P&amp;L by fund - YTD'!$AW$193,'P&amp;L by fund - YTD'!$AY$193,'P&amp;L by fund - YTD'!$BA$193,'P&amp;L by fund - YTD'!$BC$193,'P&amp;L by fund - YTD'!$BE$193,'P&amp;L by fund - YTD'!$BG$193,'P&amp;L by fund - YTD'!$BI$193,'P&amp;L by fund - YTD'!$BK$193,'P&amp;L by fund - YTD'!$BM$193,'P&amp;L by fund - YTD'!$BO$193,'P&amp;L by fund - YTD'!$BQ$193,'P&amp;L by fund - YTD'!$BQ$195,'P&amp;L by fund - YTD'!$G$196,'P&amp;L by fund - YTD'!$I$196</definedName>
    <definedName name="QB_FORMULA_59" localSheetId="3" hidden="1">'P&amp;L by fund - YTD'!$K$196,'P&amp;L by fund - YTD'!$M$196,'P&amp;L by fund - YTD'!$O$196,'P&amp;L by fund - YTD'!$Q$196,'P&amp;L by fund - YTD'!$S$196,'P&amp;L by fund - YTD'!$U$196,'P&amp;L by fund - YTD'!$W$196,'P&amp;L by fund - YTD'!$Y$196,'P&amp;L by fund - YTD'!$AA$196,'P&amp;L by fund - YTD'!$AC$196,'P&amp;L by fund - YTD'!$AE$196,'P&amp;L by fund - YTD'!$AG$196,'P&amp;L by fund - YTD'!$AI$196,'P&amp;L by fund - YTD'!$AK$196,'P&amp;L by fund - YTD'!$AM$196,'P&amp;L by fund - YTD'!$AO$196</definedName>
    <definedName name="QB_FORMULA_6" localSheetId="4" hidden="1">'Budget V Actual - YTD'!$K$53,'Budget V Actual - YTD'!$M$53,'Budget V Actual - YTD'!$K$54,'Budget V Actual - YTD'!$M$54,'Budget V Actual - YTD'!$K$55,'Budget V Actual - YTD'!$M$55,'Budget V Actual - YTD'!$K$56,'Budget V Actual - YTD'!$M$56,'Budget V Actual - YTD'!$K$57,'Budget V Actual - YTD'!$M$57,'Budget V Actual - YTD'!$K$58,'Budget V Actual - YTD'!$M$58,'Budget V Actual - YTD'!$K$59,'Budget V Actual - YTD'!$M$59,'Budget V Actual - YTD'!$K$60,'Budget V Actual - YTD'!$M$60</definedName>
    <definedName name="QB_FORMULA_6" localSheetId="2" hidden="1">'P&amp;L by fund - QTD'!$W$52,'P&amp;L by fund - QTD'!$Y$52,'P&amp;L by fund - QTD'!$AA$52,'P&amp;L by fund - QTD'!$AC$52,'P&amp;L by fund - QTD'!$AE$52,'P&amp;L by fund - QTD'!$AG$52,'P&amp;L by fund - QTD'!$AI$52,'P&amp;L by fund - QTD'!$AK$52,'P&amp;L by fund - QTD'!$AM$52,'P&amp;L by fund - QTD'!$AO$52,'P&amp;L by fund - QTD'!$AQ$52,'P&amp;L by fund - QTD'!$AS$52,'P&amp;L by fund - QTD'!$AU$52,'P&amp;L by fund - QTD'!$AW$52,'P&amp;L by fund - QTD'!$AW$54,'P&amp;L by fund - QTD'!$AW$55</definedName>
    <definedName name="QB_FORMULA_6" localSheetId="3" hidden="1">'P&amp;L by fund - YTD'!$U$32,'P&amp;L by fund - YTD'!$W$32,'P&amp;L by fund - YTD'!$Y$32,'P&amp;L by fund - YTD'!$AA$32,'P&amp;L by fund - YTD'!$AC$32,'P&amp;L by fund - YTD'!$AE$32,'P&amp;L by fund - YTD'!$AG$32,'P&amp;L by fund - YTD'!$AI$32,'P&amp;L by fund - YTD'!$AK$32,'P&amp;L by fund - YTD'!$AM$32,'P&amp;L by fund - YTD'!$AO$32,'P&amp;L by fund - YTD'!$AQ$32,'P&amp;L by fund - YTD'!$AS$32,'P&amp;L by fund - YTD'!$AU$32,'P&amp;L by fund - YTD'!$AW$32,'P&amp;L by fund - YTD'!$AY$32</definedName>
    <definedName name="QB_FORMULA_60" localSheetId="3" hidden="1">'P&amp;L by fund - YTD'!$AQ$196,'P&amp;L by fund - YTD'!$AS$196,'P&amp;L by fund - YTD'!$AU$196,'P&amp;L by fund - YTD'!$AW$196,'P&amp;L by fund - YTD'!$AY$196,'P&amp;L by fund - YTD'!$BA$196,'P&amp;L by fund - YTD'!$BC$196,'P&amp;L by fund - YTD'!$BE$196,'P&amp;L by fund - YTD'!$BG$196,'P&amp;L by fund - YTD'!$BI$196,'P&amp;L by fund - YTD'!$BK$196,'P&amp;L by fund - YTD'!$BM$196,'P&amp;L by fund - YTD'!$BO$196,'P&amp;L by fund - YTD'!$BQ$196,'P&amp;L by fund - YTD'!$BQ$198,'P&amp;L by fund - YTD'!$BQ$199</definedName>
    <definedName name="QB_FORMULA_61" localSheetId="3" hidden="1">'P&amp;L by fund - YTD'!$BQ$200,'P&amp;L by fund - YTD'!$BQ$201,'P&amp;L by fund - YTD'!$BQ$202,'P&amp;L by fund - YTD'!$BQ$203,'P&amp;L by fund - YTD'!$BQ$204,'P&amp;L by fund - YTD'!$BQ$205,'P&amp;L by fund - YTD'!$BQ$206,'P&amp;L by fund - YTD'!$G$207,'P&amp;L by fund - YTD'!$I$207,'P&amp;L by fund - YTD'!$K$207,'P&amp;L by fund - YTD'!$M$207,'P&amp;L by fund - YTD'!$O$207,'P&amp;L by fund - YTD'!$Q$207,'P&amp;L by fund - YTD'!$S$207,'P&amp;L by fund - YTD'!$U$207,'P&amp;L by fund - YTD'!$W$207</definedName>
    <definedName name="QB_FORMULA_62" localSheetId="3" hidden="1">'P&amp;L by fund - YTD'!$Y$207,'P&amp;L by fund - YTD'!$AA$207,'P&amp;L by fund - YTD'!$AC$207,'P&amp;L by fund - YTD'!$AE$207,'P&amp;L by fund - YTD'!$AG$207,'P&amp;L by fund - YTD'!$AI$207,'P&amp;L by fund - YTD'!$AK$207,'P&amp;L by fund - YTD'!$AM$207,'P&amp;L by fund - YTD'!$AO$207,'P&amp;L by fund - YTD'!$AQ$207,'P&amp;L by fund - YTD'!$AS$207,'P&amp;L by fund - YTD'!$AU$207,'P&amp;L by fund - YTD'!$AW$207,'P&amp;L by fund - YTD'!$AY$207,'P&amp;L by fund - YTD'!$BA$207,'P&amp;L by fund - YTD'!$BC$207</definedName>
    <definedName name="QB_FORMULA_63" localSheetId="3" hidden="1">'P&amp;L by fund - YTD'!$BE$207,'P&amp;L by fund - YTD'!$BG$207,'P&amp;L by fund - YTD'!$BI$207,'P&amp;L by fund - YTD'!$BK$207,'P&amp;L by fund - YTD'!$BM$207,'P&amp;L by fund - YTD'!$BO$207,'P&amp;L by fund - YTD'!$BQ$207,'P&amp;L by fund - YTD'!$BQ$209,'P&amp;L by fund - YTD'!$BQ$210,'P&amp;L by fund - YTD'!$BQ$211,'P&amp;L by fund - YTD'!$BQ$212,'P&amp;L by fund - YTD'!$BQ$213,'P&amp;L by fund - YTD'!$BQ$214,'P&amp;L by fund - YTD'!$BQ$215,'P&amp;L by fund - YTD'!$BQ$216,'P&amp;L by fund - YTD'!$G$217</definedName>
    <definedName name="QB_FORMULA_64" localSheetId="3" hidden="1">'P&amp;L by fund - YTD'!$I$217,'P&amp;L by fund - YTD'!$K$217,'P&amp;L by fund - YTD'!$M$217,'P&amp;L by fund - YTD'!$O$217,'P&amp;L by fund - YTD'!$Q$217,'P&amp;L by fund - YTD'!$S$217,'P&amp;L by fund - YTD'!$U$217,'P&amp;L by fund - YTD'!$W$217,'P&amp;L by fund - YTD'!$Y$217,'P&amp;L by fund - YTD'!$AA$217,'P&amp;L by fund - YTD'!$AC$217,'P&amp;L by fund - YTD'!$AE$217,'P&amp;L by fund - YTD'!$AG$217,'P&amp;L by fund - YTD'!$AI$217,'P&amp;L by fund - YTD'!$AK$217,'P&amp;L by fund - YTD'!$AM$217</definedName>
    <definedName name="QB_FORMULA_65" localSheetId="3" hidden="1">'P&amp;L by fund - YTD'!$AO$217,'P&amp;L by fund - YTD'!$AQ$217,'P&amp;L by fund - YTD'!$AS$217,'P&amp;L by fund - YTD'!$AU$217,'P&amp;L by fund - YTD'!$AW$217,'P&amp;L by fund - YTD'!$AY$217,'P&amp;L by fund - YTD'!$BA$217,'P&amp;L by fund - YTD'!$BC$217,'P&amp;L by fund - YTD'!$BE$217,'P&amp;L by fund - YTD'!$BG$217,'P&amp;L by fund - YTD'!$BI$217,'P&amp;L by fund - YTD'!$BK$217,'P&amp;L by fund - YTD'!$BM$217,'P&amp;L by fund - YTD'!$BO$217,'P&amp;L by fund - YTD'!$BQ$217,'P&amp;L by fund - YTD'!$BQ$219</definedName>
    <definedName name="QB_FORMULA_66" localSheetId="3" hidden="1">'P&amp;L by fund - YTD'!$G$220,'P&amp;L by fund - YTD'!$I$220,'P&amp;L by fund - YTD'!$K$220,'P&amp;L by fund - YTD'!$M$220,'P&amp;L by fund - YTD'!$O$220,'P&amp;L by fund - YTD'!$Q$220,'P&amp;L by fund - YTD'!$S$220,'P&amp;L by fund - YTD'!$U$220,'P&amp;L by fund - YTD'!$W$220,'P&amp;L by fund - YTD'!$Y$220,'P&amp;L by fund - YTD'!$AA$220,'P&amp;L by fund - YTD'!$AC$220,'P&amp;L by fund - YTD'!$AE$220,'P&amp;L by fund - YTD'!$AG$220,'P&amp;L by fund - YTD'!$AI$220,'P&amp;L by fund - YTD'!$AK$220</definedName>
    <definedName name="QB_FORMULA_67" localSheetId="3" hidden="1">'P&amp;L by fund - YTD'!$AM$220,'P&amp;L by fund - YTD'!$AO$220,'P&amp;L by fund - YTD'!$AQ$220,'P&amp;L by fund - YTD'!$AS$220,'P&amp;L by fund - YTD'!$AU$220,'P&amp;L by fund - YTD'!$AW$220,'P&amp;L by fund - YTD'!$AY$220,'P&amp;L by fund - YTD'!$BA$220,'P&amp;L by fund - YTD'!$BC$220,'P&amp;L by fund - YTD'!$BE$220,'P&amp;L by fund - YTD'!$BG$220,'P&amp;L by fund - YTD'!$BI$220,'P&amp;L by fund - YTD'!$BK$220,'P&amp;L by fund - YTD'!$BM$220,'P&amp;L by fund - YTD'!$BO$220,'P&amp;L by fund - YTD'!$BQ$220</definedName>
    <definedName name="QB_FORMULA_68" localSheetId="3" hidden="1">'P&amp;L by fund - YTD'!$BQ$222,'P&amp;L by fund - YTD'!$G$223,'P&amp;L by fund - YTD'!$I$223,'P&amp;L by fund - YTD'!$K$223,'P&amp;L by fund - YTD'!$M$223,'P&amp;L by fund - YTD'!$O$223,'P&amp;L by fund - YTD'!$Q$223,'P&amp;L by fund - YTD'!$S$223,'P&amp;L by fund - YTD'!$U$223,'P&amp;L by fund - YTD'!$W$223,'P&amp;L by fund - YTD'!$Y$223,'P&amp;L by fund - YTD'!$AA$223,'P&amp;L by fund - YTD'!$AC$223,'P&amp;L by fund - YTD'!$AE$223,'P&amp;L by fund - YTD'!$AG$223,'P&amp;L by fund - YTD'!$AI$223</definedName>
    <definedName name="QB_FORMULA_69" localSheetId="3" hidden="1">'P&amp;L by fund - YTD'!$AK$223,'P&amp;L by fund - YTD'!$AM$223,'P&amp;L by fund - YTD'!$AO$223,'P&amp;L by fund - YTD'!$AQ$223,'P&amp;L by fund - YTD'!$AS$223,'P&amp;L by fund - YTD'!$AU$223,'P&amp;L by fund - YTD'!$AW$223,'P&amp;L by fund - YTD'!$AY$223,'P&amp;L by fund - YTD'!$BA$223,'P&amp;L by fund - YTD'!$BC$223,'P&amp;L by fund - YTD'!$BE$223,'P&amp;L by fund - YTD'!$BG$223,'P&amp;L by fund - YTD'!$BI$223,'P&amp;L by fund - YTD'!$BK$223,'P&amp;L by fund - YTD'!$BM$223,'P&amp;L by fund - YTD'!$BO$223</definedName>
    <definedName name="QB_FORMULA_7" localSheetId="4" hidden="1">'Budget V Actual - YTD'!$K$61,'Budget V Actual - YTD'!$M$61,'Budget V Actual - YTD'!$K$62,'Budget V Actual - YTD'!$M$62,'Budget V Actual - YTD'!$K$63,'Budget V Actual - YTD'!$M$63,'Budget V Actual - YTD'!$K$64,'Budget V Actual - YTD'!$M$64,'Budget V Actual - YTD'!$K$65,'Budget V Actual - YTD'!$M$65,'Budget V Actual - YTD'!$K$66,'Budget V Actual - YTD'!$M$66,'Budget V Actual - YTD'!$K$67,'Budget V Actual - YTD'!$M$67,'Budget V Actual - YTD'!$K$68,'Budget V Actual - YTD'!$M$68</definedName>
    <definedName name="QB_FORMULA_7" localSheetId="2" hidden="1">'P&amp;L by fund - QTD'!$AW$56,'P&amp;L by fund - QTD'!$AW$57,'P&amp;L by fund - QTD'!$AW$58,'P&amp;L by fund - QTD'!$AW$59,'P&amp;L by fund - QTD'!$AW$60,'P&amp;L by fund - QTD'!$G$61,'P&amp;L by fund - QTD'!$I$61,'P&amp;L by fund - QTD'!$K$61,'P&amp;L by fund - QTD'!$M$61,'P&amp;L by fund - QTD'!$O$61,'P&amp;L by fund - QTD'!$Q$61,'P&amp;L by fund - QTD'!$S$61,'P&amp;L by fund - QTD'!$U$61,'P&amp;L by fund - QTD'!$W$61,'P&amp;L by fund - QTD'!$Y$61,'P&amp;L by fund - QTD'!$AA$61</definedName>
    <definedName name="QB_FORMULA_7" localSheetId="3" hidden="1">'P&amp;L by fund - YTD'!$BA$32,'P&amp;L by fund - YTD'!$BC$32,'P&amp;L by fund - YTD'!$BE$32,'P&amp;L by fund - YTD'!$BG$32,'P&amp;L by fund - YTD'!$BI$32,'P&amp;L by fund - YTD'!$BK$32,'P&amp;L by fund - YTD'!$BM$32,'P&amp;L by fund - YTD'!$BO$32,'P&amp;L by fund - YTD'!$BQ$32,'P&amp;L by fund - YTD'!$BQ$34,'P&amp;L by fund - YTD'!$BQ$35,'P&amp;L by fund - YTD'!$BQ$37,'P&amp;L by fund - YTD'!$BQ$38,'P&amp;L by fund - YTD'!$BQ$39,'P&amp;L by fund - YTD'!$BQ$40,'P&amp;L by fund - YTD'!$BQ$41</definedName>
    <definedName name="QB_FORMULA_70" localSheetId="3" hidden="1">'P&amp;L by fund - YTD'!$BQ$223,'P&amp;L by fund - YTD'!$BQ$225,'P&amp;L by fund - YTD'!$BQ$226,'P&amp;L by fund - YTD'!$BQ$227,'P&amp;L by fund - YTD'!$G$228,'P&amp;L by fund - YTD'!$I$228,'P&amp;L by fund - YTD'!$K$228,'P&amp;L by fund - YTD'!$M$228,'P&amp;L by fund - YTD'!$O$228,'P&amp;L by fund - YTD'!$Q$228,'P&amp;L by fund - YTD'!$S$228,'P&amp;L by fund - YTD'!$U$228,'P&amp;L by fund - YTD'!$W$228,'P&amp;L by fund - YTD'!$Y$228,'P&amp;L by fund - YTD'!$AA$228,'P&amp;L by fund - YTD'!$AC$228</definedName>
    <definedName name="QB_FORMULA_71" localSheetId="3" hidden="1">'P&amp;L by fund - YTD'!$AE$228,'P&amp;L by fund - YTD'!$AG$228,'P&amp;L by fund - YTD'!$AI$228,'P&amp;L by fund - YTD'!$AK$228,'P&amp;L by fund - YTD'!$AM$228,'P&amp;L by fund - YTD'!$AO$228,'P&amp;L by fund - YTD'!$AQ$228,'P&amp;L by fund - YTD'!$AS$228,'P&amp;L by fund - YTD'!$AU$228,'P&amp;L by fund - YTD'!$AW$228,'P&amp;L by fund - YTD'!$AY$228,'P&amp;L by fund - YTD'!$BA$228,'P&amp;L by fund - YTD'!$BC$228,'P&amp;L by fund - YTD'!$BE$228,'P&amp;L by fund - YTD'!$BG$228,'P&amp;L by fund - YTD'!$BI$228</definedName>
    <definedName name="QB_FORMULA_72" localSheetId="3" hidden="1">'P&amp;L by fund - YTD'!$BK$228,'P&amp;L by fund - YTD'!$BM$228,'P&amp;L by fund - YTD'!$BO$228,'P&amp;L by fund - YTD'!$BQ$228,'P&amp;L by fund - YTD'!$BQ$230,'P&amp;L by fund - YTD'!$BQ$231,'P&amp;L by fund - YTD'!$G$232,'P&amp;L by fund - YTD'!$I$232,'P&amp;L by fund - YTD'!$K$232,'P&amp;L by fund - YTD'!$M$232,'P&amp;L by fund - YTD'!$O$232,'P&amp;L by fund - YTD'!$Q$232,'P&amp;L by fund - YTD'!$S$232,'P&amp;L by fund - YTD'!$U$232,'P&amp;L by fund - YTD'!$W$232,'P&amp;L by fund - YTD'!$Y$232</definedName>
    <definedName name="QB_FORMULA_73" localSheetId="3" hidden="1">'P&amp;L by fund - YTD'!$AA$232,'P&amp;L by fund - YTD'!$AC$232,'P&amp;L by fund - YTD'!$AE$232,'P&amp;L by fund - YTD'!$AG$232,'P&amp;L by fund - YTD'!$AI$232,'P&amp;L by fund - YTD'!$AK$232,'P&amp;L by fund - YTD'!$AM$232,'P&amp;L by fund - YTD'!$AO$232,'P&amp;L by fund - YTD'!$AQ$232,'P&amp;L by fund - YTD'!$AS$232,'P&amp;L by fund - YTD'!$AU$232,'P&amp;L by fund - YTD'!$AW$232,'P&amp;L by fund - YTD'!$AY$232,'P&amp;L by fund - YTD'!$BA$232,'P&amp;L by fund - YTD'!$BC$232,'P&amp;L by fund - YTD'!$BE$232</definedName>
    <definedName name="QB_FORMULA_74" localSheetId="3" hidden="1">'P&amp;L by fund - YTD'!$BG$232,'P&amp;L by fund - YTD'!$BI$232,'P&amp;L by fund - YTD'!$BK$232,'P&amp;L by fund - YTD'!$BM$232,'P&amp;L by fund - YTD'!$BO$232,'P&amp;L by fund - YTD'!$BQ$232,'P&amp;L by fund - YTD'!$BQ$234,'P&amp;L by fund - YTD'!$BQ$235,'P&amp;L by fund - YTD'!$BQ$236,'P&amp;L by fund - YTD'!$BQ$237,'P&amp;L by fund - YTD'!$BQ$238,'P&amp;L by fund - YTD'!$G$239,'P&amp;L by fund - YTD'!$I$239,'P&amp;L by fund - YTD'!$K$239,'P&amp;L by fund - YTD'!$M$239,'P&amp;L by fund - YTD'!$O$239</definedName>
    <definedName name="QB_FORMULA_75" localSheetId="3" hidden="1">'P&amp;L by fund - YTD'!$Q$239,'P&amp;L by fund - YTD'!$S$239,'P&amp;L by fund - YTD'!$U$239,'P&amp;L by fund - YTD'!$W$239,'P&amp;L by fund - YTD'!$Y$239,'P&amp;L by fund - YTD'!$AA$239,'P&amp;L by fund - YTD'!$AC$239,'P&amp;L by fund - YTD'!$AE$239,'P&amp;L by fund - YTD'!$AG$239,'P&amp;L by fund - YTD'!$AI$239,'P&amp;L by fund - YTD'!$AK$239,'P&amp;L by fund - YTD'!$AM$239,'P&amp;L by fund - YTD'!$AO$239,'P&amp;L by fund - YTD'!$AQ$239,'P&amp;L by fund - YTD'!$AS$239,'P&amp;L by fund - YTD'!$AU$239</definedName>
    <definedName name="QB_FORMULA_76" localSheetId="3" hidden="1">'P&amp;L by fund - YTD'!$AW$239,'P&amp;L by fund - YTD'!$AY$239,'P&amp;L by fund - YTD'!$BA$239,'P&amp;L by fund - YTD'!$BC$239,'P&amp;L by fund - YTD'!$BE$239,'P&amp;L by fund - YTD'!$BG$239,'P&amp;L by fund - YTD'!$BI$239,'P&amp;L by fund - YTD'!$BK$239,'P&amp;L by fund - YTD'!$BM$239,'P&amp;L by fund - YTD'!$BO$239,'P&amp;L by fund - YTD'!$BQ$239,'P&amp;L by fund - YTD'!$BQ$241,'P&amp;L by fund - YTD'!$G$242,'P&amp;L by fund - YTD'!$I$242,'P&amp;L by fund - YTD'!$K$242,'P&amp;L by fund - YTD'!$M$242</definedName>
    <definedName name="QB_FORMULA_77" localSheetId="3" hidden="1">'P&amp;L by fund - YTD'!$O$242,'P&amp;L by fund - YTD'!$Q$242,'P&amp;L by fund - YTD'!$S$242,'P&amp;L by fund - YTD'!$U$242,'P&amp;L by fund - YTD'!$W$242,'P&amp;L by fund - YTD'!$Y$242,'P&amp;L by fund - YTD'!$AA$242,'P&amp;L by fund - YTD'!$AC$242,'P&amp;L by fund - YTD'!$AE$242,'P&amp;L by fund - YTD'!$AG$242,'P&amp;L by fund - YTD'!$AI$242,'P&amp;L by fund - YTD'!$AK$242,'P&amp;L by fund - YTD'!$AM$242,'P&amp;L by fund - YTD'!$AO$242,'P&amp;L by fund - YTD'!$AQ$242,'P&amp;L by fund - YTD'!$AS$242</definedName>
    <definedName name="QB_FORMULA_78" localSheetId="3" hidden="1">'P&amp;L by fund - YTD'!$AU$242,'P&amp;L by fund - YTD'!$AW$242,'P&amp;L by fund - YTD'!$AY$242,'P&amp;L by fund - YTD'!$BA$242,'P&amp;L by fund - YTD'!$BC$242,'P&amp;L by fund - YTD'!$BE$242,'P&amp;L by fund - YTD'!$BG$242,'P&amp;L by fund - YTD'!$BI$242,'P&amp;L by fund - YTD'!$BK$242,'P&amp;L by fund - YTD'!$BM$242,'P&amp;L by fund - YTD'!$BO$242,'P&amp;L by fund - YTD'!$BQ$242,'P&amp;L by fund - YTD'!$G$243,'P&amp;L by fund - YTD'!$I$243,'P&amp;L by fund - YTD'!$K$243,'P&amp;L by fund - YTD'!$M$243</definedName>
    <definedName name="QB_FORMULA_79" localSheetId="3" hidden="1">'P&amp;L by fund - YTD'!$O$243,'P&amp;L by fund - YTD'!$Q$243,'P&amp;L by fund - YTD'!$S$243,'P&amp;L by fund - YTD'!$U$243,'P&amp;L by fund - YTD'!$W$243,'P&amp;L by fund - YTD'!$Y$243,'P&amp;L by fund - YTD'!$AA$243,'P&amp;L by fund - YTD'!$AC$243,'P&amp;L by fund - YTD'!$AE$243,'P&amp;L by fund - YTD'!$AG$243,'P&amp;L by fund - YTD'!$AI$243,'P&amp;L by fund - YTD'!$AK$243,'P&amp;L by fund - YTD'!$AM$243,'P&amp;L by fund - YTD'!$AO$243,'P&amp;L by fund - YTD'!$AQ$243,'P&amp;L by fund - YTD'!$AS$243</definedName>
    <definedName name="QB_FORMULA_8" localSheetId="4" hidden="1">'Budget V Actual - YTD'!$K$69,'Budget V Actual - YTD'!$M$69,'Budget V Actual - YTD'!$K$70,'Budget V Actual - YTD'!$M$70,'Budget V Actual - YTD'!$K$71,'Budget V Actual - YTD'!$M$71,'Budget V Actual - YTD'!$K$72,'Budget V Actual - YTD'!$M$72,'Budget V Actual - YTD'!$G$73,'Budget V Actual - YTD'!$I$73,'Budget V Actual - YTD'!$K$73,'Budget V Actual - YTD'!$M$73,'Budget V Actual - YTD'!$K$75,'Budget V Actual - YTD'!$M$75,'Budget V Actual - YTD'!$G$76,'Budget V Actual - YTD'!$I$76</definedName>
    <definedName name="QB_FORMULA_8" localSheetId="2" hidden="1">'P&amp;L by fund - QTD'!$AC$61,'P&amp;L by fund - QTD'!$AE$61,'P&amp;L by fund - QTD'!$AG$61,'P&amp;L by fund - QTD'!$AI$61,'P&amp;L by fund - QTD'!$AK$61,'P&amp;L by fund - QTD'!$AM$61,'P&amp;L by fund - QTD'!$AO$61,'P&amp;L by fund - QTD'!$AQ$61,'P&amp;L by fund - QTD'!$AS$61,'P&amp;L by fund - QTD'!$AU$61,'P&amp;L by fund - QTD'!$AW$61,'P&amp;L by fund - QTD'!$AW$63,'P&amp;L by fund - QTD'!$G$64,'P&amp;L by fund - QTD'!$I$64,'P&amp;L by fund - QTD'!$K$64,'P&amp;L by fund - QTD'!$M$64</definedName>
    <definedName name="QB_FORMULA_8" localSheetId="3" hidden="1">'P&amp;L by fund - YTD'!$BQ$42,'P&amp;L by fund - YTD'!$BQ$43,'P&amp;L by fund - YTD'!$BQ$44,'P&amp;L by fund - YTD'!$BQ$45,'P&amp;L by fund - YTD'!$BQ$46,'P&amp;L by fund - YTD'!$BQ$47,'P&amp;L by fund - YTD'!$BQ$48,'P&amp;L by fund - YTD'!$BQ$49,'P&amp;L by fund - YTD'!$BQ$50,'P&amp;L by fund - YTD'!$BQ$51,'P&amp;L by fund - YTD'!$BQ$52,'P&amp;L by fund - YTD'!$BQ$53,'P&amp;L by fund - YTD'!$BQ$54,'P&amp;L by fund - YTD'!$BQ$55,'P&amp;L by fund - YTD'!$BQ$56,'P&amp;L by fund - YTD'!$BQ$57</definedName>
    <definedName name="QB_FORMULA_80" localSheetId="3" hidden="1">'P&amp;L by fund - YTD'!$AU$243,'P&amp;L by fund - YTD'!$AW$243,'P&amp;L by fund - YTD'!$AY$243,'P&amp;L by fund - YTD'!$BA$243,'P&amp;L by fund - YTD'!$BC$243,'P&amp;L by fund - YTD'!$BE$243,'P&amp;L by fund - YTD'!$BG$243,'P&amp;L by fund - YTD'!$BI$243,'P&amp;L by fund - YTD'!$BK$243,'P&amp;L by fund - YTD'!$BM$243,'P&amp;L by fund - YTD'!$BO$243,'P&amp;L by fund - YTD'!$BQ$243,'P&amp;L by fund - YTD'!$G$244,'P&amp;L by fund - YTD'!$I$244,'P&amp;L by fund - YTD'!$K$244,'P&amp;L by fund - YTD'!$M$244</definedName>
    <definedName name="QB_FORMULA_81" localSheetId="3" hidden="1">'P&amp;L by fund - YTD'!$O$244,'P&amp;L by fund - YTD'!$Q$244,'P&amp;L by fund - YTD'!$S$244,'P&amp;L by fund - YTD'!$U$244,'P&amp;L by fund - YTD'!$W$244,'P&amp;L by fund - YTD'!$Y$244,'P&amp;L by fund - YTD'!$AA$244,'P&amp;L by fund - YTD'!$AC$244,'P&amp;L by fund - YTD'!$AE$244,'P&amp;L by fund - YTD'!$AG$244,'P&amp;L by fund - YTD'!$AI$244,'P&amp;L by fund - YTD'!$AK$244,'P&amp;L by fund - YTD'!$AM$244,'P&amp;L by fund - YTD'!$AO$244,'P&amp;L by fund - YTD'!$AQ$244,'P&amp;L by fund - YTD'!$AS$244</definedName>
    <definedName name="QB_FORMULA_82" localSheetId="3" hidden="1">'P&amp;L by fund - YTD'!$AU$244,'P&amp;L by fund - YTD'!$AW$244,'P&amp;L by fund - YTD'!$AY$244,'P&amp;L by fund - YTD'!$BA$244,'P&amp;L by fund - YTD'!$BC$244,'P&amp;L by fund - YTD'!$BE$244,'P&amp;L by fund - YTD'!$BG$244,'P&amp;L by fund - YTD'!$BI$244,'P&amp;L by fund - YTD'!$BK$244,'P&amp;L by fund - YTD'!$BM$244,'P&amp;L by fund - YTD'!$BO$244,'P&amp;L by fund - YTD'!$BQ$244,'P&amp;L by fund - YTD'!$BQ$247,'P&amp;L by fund - YTD'!$G$248,'P&amp;L by fund - YTD'!$I$248,'P&amp;L by fund - YTD'!$K$248</definedName>
    <definedName name="QB_FORMULA_83" localSheetId="3" hidden="1">'P&amp;L by fund - YTD'!$M$248,'P&amp;L by fund - YTD'!$O$248,'P&amp;L by fund - YTD'!$Q$248,'P&amp;L by fund - YTD'!$S$248,'P&amp;L by fund - YTD'!$U$248,'P&amp;L by fund - YTD'!$W$248,'P&amp;L by fund - YTD'!$Y$248,'P&amp;L by fund - YTD'!$AA$248,'P&amp;L by fund - YTD'!$AC$248,'P&amp;L by fund - YTD'!$AE$248,'P&amp;L by fund - YTD'!$AG$248,'P&amp;L by fund - YTD'!$AI$248,'P&amp;L by fund - YTD'!$AK$248,'P&amp;L by fund - YTD'!$AM$248,'P&amp;L by fund - YTD'!$AO$248,'P&amp;L by fund - YTD'!$AQ$248</definedName>
    <definedName name="QB_FORMULA_84" localSheetId="3" hidden="1">'P&amp;L by fund - YTD'!$AS$248,'P&amp;L by fund - YTD'!$AU$248,'P&amp;L by fund - YTD'!$AW$248,'P&amp;L by fund - YTD'!$AY$248,'P&amp;L by fund - YTD'!$BA$248,'P&amp;L by fund - YTD'!$BC$248,'P&amp;L by fund - YTD'!$BE$248,'P&amp;L by fund - YTD'!$BG$248,'P&amp;L by fund - YTD'!$BI$248,'P&amp;L by fund - YTD'!$BK$248,'P&amp;L by fund - YTD'!$BM$248,'P&amp;L by fund - YTD'!$BO$248,'P&amp;L by fund - YTD'!$BQ$248,'P&amp;L by fund - YTD'!$G$249,'P&amp;L by fund - YTD'!$I$249,'P&amp;L by fund - YTD'!$K$249</definedName>
    <definedName name="QB_FORMULA_85" localSheetId="3" hidden="1">'P&amp;L by fund - YTD'!$M$249,'P&amp;L by fund - YTD'!$O$249,'P&amp;L by fund - YTD'!$Q$249,'P&amp;L by fund - YTD'!$S$249,'P&amp;L by fund - YTD'!$U$249,'P&amp;L by fund - YTD'!$W$249,'P&amp;L by fund - YTD'!$Y$249,'P&amp;L by fund - YTD'!$AA$249,'P&amp;L by fund - YTD'!$AC$249,'P&amp;L by fund - YTD'!$AE$249,'P&amp;L by fund - YTD'!$AG$249,'P&amp;L by fund - YTD'!$AI$249,'P&amp;L by fund - YTD'!$AK$249,'P&amp;L by fund - YTD'!$AM$249,'P&amp;L by fund - YTD'!$AO$249,'P&amp;L by fund - YTD'!$AQ$249</definedName>
    <definedName name="QB_FORMULA_86" localSheetId="3" hidden="1">'P&amp;L by fund - YTD'!$AS$249,'P&amp;L by fund - YTD'!$AU$249,'P&amp;L by fund - YTD'!$AW$249,'P&amp;L by fund - YTD'!$AY$249,'P&amp;L by fund - YTD'!$BA$249,'P&amp;L by fund - YTD'!$BC$249,'P&amp;L by fund - YTD'!$BE$249,'P&amp;L by fund - YTD'!$BG$249,'P&amp;L by fund - YTD'!$BI$249,'P&amp;L by fund - YTD'!$BK$249,'P&amp;L by fund - YTD'!$BM$249,'P&amp;L by fund - YTD'!$BO$249,'P&amp;L by fund - YTD'!$BQ$249,'P&amp;L by fund - YTD'!$G$250,'P&amp;L by fund - YTD'!$I$250,'P&amp;L by fund - YTD'!$K$250</definedName>
    <definedName name="QB_FORMULA_87" localSheetId="3" hidden="1">'P&amp;L by fund - YTD'!$M$250,'P&amp;L by fund - YTD'!$O$250,'P&amp;L by fund - YTD'!$Q$250,'P&amp;L by fund - YTD'!$S$250,'P&amp;L by fund - YTD'!$U$250,'P&amp;L by fund - YTD'!$W$250,'P&amp;L by fund - YTD'!$Y$250,'P&amp;L by fund - YTD'!$AA$250,'P&amp;L by fund - YTD'!$AC$250,'P&amp;L by fund - YTD'!$AE$250,'P&amp;L by fund - YTD'!$AG$250,'P&amp;L by fund - YTD'!$AI$250,'P&amp;L by fund - YTD'!$AK$250,'P&amp;L by fund - YTD'!$AM$250,'P&amp;L by fund - YTD'!$AO$250,'P&amp;L by fund - YTD'!$AQ$250</definedName>
    <definedName name="QB_FORMULA_88" localSheetId="3" hidden="1">'P&amp;L by fund - YTD'!$AS$250,'P&amp;L by fund - YTD'!$AU$250,'P&amp;L by fund - YTD'!$AW$250,'P&amp;L by fund - YTD'!$AY$250,'P&amp;L by fund - YTD'!$BA$250,'P&amp;L by fund - YTD'!$BC$250,'P&amp;L by fund - YTD'!$BE$250,'P&amp;L by fund - YTD'!$BG$250,'P&amp;L by fund - YTD'!$BI$250,'P&amp;L by fund - YTD'!$BK$250,'P&amp;L by fund - YTD'!$BM$250,'P&amp;L by fund - YTD'!$BO$250,'P&amp;L by fund - YTD'!$BQ$250</definedName>
    <definedName name="QB_FORMULA_9" localSheetId="4" hidden="1">'Budget V Actual - YTD'!$K$76,'Budget V Actual - YTD'!$M$76,'Budget V Actual - YTD'!$K$78,'Budget V Actual - YTD'!$M$78,'Budget V Actual - YTD'!$K$79,'Budget V Actual - YTD'!$M$79,'Budget V Actual - YTD'!$K$80,'Budget V Actual - YTD'!$M$80,'Budget V Actual - YTD'!$K$81,'Budget V Actual - YTD'!$M$81,'Budget V Actual - YTD'!$K$82,'Budget V Actual - YTD'!$M$82,'Budget V Actual - YTD'!$K$83,'Budget V Actual - YTD'!$M$83,'Budget V Actual - YTD'!$K$84,'Budget V Actual - YTD'!$M$84</definedName>
    <definedName name="QB_FORMULA_9" localSheetId="2" hidden="1">'P&amp;L by fund - QTD'!$O$64,'P&amp;L by fund - QTD'!$Q$64,'P&amp;L by fund - QTD'!$S$64,'P&amp;L by fund - QTD'!$U$64,'P&amp;L by fund - QTD'!$W$64,'P&amp;L by fund - QTD'!$Y$64,'P&amp;L by fund - QTD'!$AA$64,'P&amp;L by fund - QTD'!$AC$64,'P&amp;L by fund - QTD'!$AE$64,'P&amp;L by fund - QTD'!$AG$64,'P&amp;L by fund - QTD'!$AI$64,'P&amp;L by fund - QTD'!$AK$64,'P&amp;L by fund - QTD'!$AM$64,'P&amp;L by fund - QTD'!$AO$64,'P&amp;L by fund - QTD'!$AQ$64,'P&amp;L by fund - QTD'!$AS$64</definedName>
    <definedName name="QB_FORMULA_9" localSheetId="3" hidden="1">'P&amp;L by fund - YTD'!$BQ$58,'P&amp;L by fund - YTD'!$BQ$59,'P&amp;L by fund - YTD'!$BQ$60,'P&amp;L by fund - YTD'!$BQ$61,'P&amp;L by fund - YTD'!$BQ$62,'P&amp;L by fund - YTD'!$BQ$63,'P&amp;L by fund - YTD'!$BQ$64,'P&amp;L by fund - YTD'!$BQ$65,'P&amp;L by fund - YTD'!$BQ$66,'P&amp;L by fund - YTD'!$G$67,'P&amp;L by fund - YTD'!$I$67,'P&amp;L by fund - YTD'!$K$67,'P&amp;L by fund - YTD'!$M$67,'P&amp;L by fund - YTD'!$O$67,'P&amp;L by fund - YTD'!$Q$67,'P&amp;L by fund - YTD'!$S$67</definedName>
    <definedName name="QB_ROW_1" localSheetId="0" hidden="1">'Balance Sheet'!$A$2</definedName>
    <definedName name="QB_ROW_100250" localSheetId="4" hidden="1">'Budget V Actual - YTD'!$F$137</definedName>
    <definedName name="QB_ROW_100250" localSheetId="1" hidden="1">'P&amp;L'!$F$125</definedName>
    <definedName name="QB_ROW_100250" localSheetId="3" hidden="1">'P&amp;L by fund - YTD'!$F$124</definedName>
    <definedName name="QB_ROW_10031" localSheetId="0" hidden="1">'Balance Sheet'!$D$63</definedName>
    <definedName name="QB_ROW_1011" localSheetId="0" hidden="1">'Balance Sheet'!$B$3</definedName>
    <definedName name="QB_ROW_102250" localSheetId="4" hidden="1">'Budget V Actual - YTD'!$F$197</definedName>
    <definedName name="QB_ROW_102250" localSheetId="1" hidden="1">'P&amp;L'!$F$186</definedName>
    <definedName name="QB_ROW_102250" localSheetId="2" hidden="1">'P&amp;L by fund - QTD'!$F$144</definedName>
    <definedName name="QB_ROW_102250" localSheetId="3" hidden="1">'P&amp;L by fund - YTD'!$F$185</definedName>
    <definedName name="QB_ROW_10331" localSheetId="0" hidden="1">'Balance Sheet'!$D$65</definedName>
    <definedName name="QB_ROW_11230" localSheetId="0" hidden="1">'Balance Sheet'!$D$45</definedName>
    <definedName name="QB_ROW_12031" localSheetId="0" hidden="1">'Balance Sheet'!$D$66</definedName>
    <definedName name="QB_ROW_12331" localSheetId="0" hidden="1">'Balance Sheet'!$D$70</definedName>
    <definedName name="QB_ROW_127040" localSheetId="4" hidden="1">'Budget V Actual - YTD'!$E$41</definedName>
    <definedName name="QB_ROW_127040" localSheetId="1" hidden="1">'P&amp;L'!$E$37</definedName>
    <definedName name="QB_ROW_127040" localSheetId="2" hidden="1">'P&amp;L by fund - QTD'!$E$25</definedName>
    <definedName name="QB_ROW_127040" localSheetId="3" hidden="1">'P&amp;L by fund - YTD'!$E$36</definedName>
    <definedName name="QB_ROW_127340" localSheetId="4" hidden="1">'Budget V Actual - YTD'!$E$73</definedName>
    <definedName name="QB_ROW_127340" localSheetId="1" hidden="1">'P&amp;L'!$E$68</definedName>
    <definedName name="QB_ROW_127340" localSheetId="2" hidden="1">'P&amp;L by fund - QTD'!$E$52</definedName>
    <definedName name="QB_ROW_127340" localSheetId="3" hidden="1">'P&amp;L by fund - YTD'!$E$67</definedName>
    <definedName name="QB_ROW_128040" localSheetId="4" hidden="1">'Budget V Actual - YTD'!$E$128</definedName>
    <definedName name="QB_ROW_128040" localSheetId="1" hidden="1">'P&amp;L'!$E$116</definedName>
    <definedName name="QB_ROW_128040" localSheetId="2" hidden="1">'P&amp;L by fund - QTD'!$E$84</definedName>
    <definedName name="QB_ROW_128040" localSheetId="3" hidden="1">'P&amp;L by fund - YTD'!$E$115</definedName>
    <definedName name="QB_ROW_128340" localSheetId="4" hidden="1">'Budget V Actual - YTD'!$E$143</definedName>
    <definedName name="QB_ROW_128340" localSheetId="1" hidden="1">'P&amp;L'!$E$131</definedName>
    <definedName name="QB_ROW_128340" localSheetId="2" hidden="1">'P&amp;L by fund - QTD'!$E$96</definedName>
    <definedName name="QB_ROW_128340" localSheetId="3" hidden="1">'P&amp;L by fund - YTD'!$E$130</definedName>
    <definedName name="QB_ROW_13021" localSheetId="0" hidden="1">'Balance Sheet'!$C$72</definedName>
    <definedName name="QB_ROW_1311" localSheetId="0" hidden="1">'Balance Sheet'!$B$47</definedName>
    <definedName name="QB_ROW_132250" localSheetId="4" hidden="1">'Budget V Actual - YTD'!$F$184</definedName>
    <definedName name="QB_ROW_132250" localSheetId="1" hidden="1">'P&amp;L'!$F$173</definedName>
    <definedName name="QB_ROW_132250" localSheetId="3" hidden="1">'P&amp;L by fund - YTD'!$F$172</definedName>
    <definedName name="QB_ROW_133040" localSheetId="4" hidden="1">'Budget V Actual - YTD'!$E$252</definedName>
    <definedName name="QB_ROW_133040" localSheetId="1" hidden="1">'P&amp;L'!$E$241</definedName>
    <definedName name="QB_ROW_133040" localSheetId="3" hidden="1">'P&amp;L by fund - YTD'!$E$240</definedName>
    <definedName name="QB_ROW_13321" localSheetId="0" hidden="1">'Balance Sheet'!$C$76</definedName>
    <definedName name="QB_ROW_133340" localSheetId="4" hidden="1">'Budget V Actual - YTD'!$E$254</definedName>
    <definedName name="QB_ROW_133340" localSheetId="1" hidden="1">'P&amp;L'!$E$243</definedName>
    <definedName name="QB_ROW_133340" localSheetId="3" hidden="1">'P&amp;L by fund - YTD'!$E$242</definedName>
    <definedName name="QB_ROW_134040" localSheetId="4" hidden="1">'Budget V Actual - YTD'!$E$110</definedName>
    <definedName name="QB_ROW_134040" localSheetId="1" hidden="1">'P&amp;L'!$E$105</definedName>
    <definedName name="QB_ROW_134040" localSheetId="2" hidden="1">'P&amp;L by fund - QTD'!$E$75</definedName>
    <definedName name="QB_ROW_134040" localSheetId="3" hidden="1">'P&amp;L by fund - YTD'!$E$104</definedName>
    <definedName name="QB_ROW_134340" localSheetId="4" hidden="1">'Budget V Actual - YTD'!$E$116</definedName>
    <definedName name="QB_ROW_134340" localSheetId="1" hidden="1">'P&amp;L'!$E$111</definedName>
    <definedName name="QB_ROW_134340" localSheetId="2" hidden="1">'P&amp;L by fund - QTD'!$E$79</definedName>
    <definedName name="QB_ROW_134340" localSheetId="3" hidden="1">'P&amp;L by fund - YTD'!$E$110</definedName>
    <definedName name="QB_ROW_135040" localSheetId="4" hidden="1">'Budget V Actual - YTD'!$E$117</definedName>
    <definedName name="QB_ROW_135340" localSheetId="4" hidden="1">'Budget V Actual - YTD'!$E$119</definedName>
    <definedName name="QB_ROW_136040" localSheetId="4" hidden="1">'Budget V Actual - YTD'!$E$100</definedName>
    <definedName name="QB_ROW_136040" localSheetId="1" hidden="1">'P&amp;L'!$E$95</definedName>
    <definedName name="QB_ROW_136040" localSheetId="2" hidden="1">'P&amp;L by fund - QTD'!$E$72</definedName>
    <definedName name="QB_ROW_136040" localSheetId="3" hidden="1">'P&amp;L by fund - YTD'!$E$94</definedName>
    <definedName name="QB_ROW_136340" localSheetId="4" hidden="1">'Budget V Actual - YTD'!$E$103</definedName>
    <definedName name="QB_ROW_136340" localSheetId="1" hidden="1">'P&amp;L'!$E$98</definedName>
    <definedName name="QB_ROW_136340" localSheetId="2" hidden="1">'P&amp;L by fund - QTD'!$E$74</definedName>
    <definedName name="QB_ROW_136340" localSheetId="3" hidden="1">'P&amp;L by fund - YTD'!$E$97</definedName>
    <definedName name="QB_ROW_137040" localSheetId="4" hidden="1">'Budget V Actual - YTD'!$E$104</definedName>
    <definedName name="QB_ROW_137040" localSheetId="1" hidden="1">'P&amp;L'!$E$99</definedName>
    <definedName name="QB_ROW_137040" localSheetId="3" hidden="1">'P&amp;L by fund - YTD'!$E$98</definedName>
    <definedName name="QB_ROW_137340" localSheetId="4" hidden="1">'Budget V Actual - YTD'!$E$109</definedName>
    <definedName name="QB_ROW_137340" localSheetId="1" hidden="1">'P&amp;L'!$E$104</definedName>
    <definedName name="QB_ROW_137340" localSheetId="3" hidden="1">'P&amp;L by fund - YTD'!$E$103</definedName>
    <definedName name="QB_ROW_138250" localSheetId="4" hidden="1">'Budget V Actual - YTD'!$F$66</definedName>
    <definedName name="QB_ROW_138250" localSheetId="1" hidden="1">'P&amp;L'!$F$61</definedName>
    <definedName name="QB_ROW_138250" localSheetId="2" hidden="1">'P&amp;L by fund - QTD'!$F$46</definedName>
    <definedName name="QB_ROW_138250" localSheetId="3" hidden="1">'P&amp;L by fund - YTD'!$F$60</definedName>
    <definedName name="QB_ROW_139040" localSheetId="4" hidden="1">'Budget V Actual - YTD'!$E$157</definedName>
    <definedName name="QB_ROW_139040" localSheetId="1" hidden="1">'P&amp;L'!$E$143</definedName>
    <definedName name="QB_ROW_139040" localSheetId="2" hidden="1">'P&amp;L by fund - QTD'!$E$106</definedName>
    <definedName name="QB_ROW_139040" localSheetId="3" hidden="1">'P&amp;L by fund - YTD'!$E$142</definedName>
    <definedName name="QB_ROW_139340" localSheetId="4" hidden="1">'Budget V Actual - YTD'!$E$159</definedName>
    <definedName name="QB_ROW_139340" localSheetId="1" hidden="1">'P&amp;L'!$E$145</definedName>
    <definedName name="QB_ROW_139340" localSheetId="2" hidden="1">'P&amp;L by fund - QTD'!$E$108</definedName>
    <definedName name="QB_ROW_139340" localSheetId="3" hidden="1">'P&amp;L by fund - YTD'!$E$144</definedName>
    <definedName name="QB_ROW_140040" localSheetId="4" hidden="1">'Budget V Actual - YTD'!$E$192</definedName>
    <definedName name="QB_ROW_140040" localSheetId="1" hidden="1">'P&amp;L'!$E$181</definedName>
    <definedName name="QB_ROW_140040" localSheetId="2" hidden="1">'P&amp;L by fund - QTD'!$E$140</definedName>
    <definedName name="QB_ROW_140040" localSheetId="3" hidden="1">'P&amp;L by fund - YTD'!$E$180</definedName>
    <definedName name="QB_ROW_14011" localSheetId="0" hidden="1">'Balance Sheet'!$B$78</definedName>
    <definedName name="QB_ROW_140340" localSheetId="4" hidden="1">'Budget V Actual - YTD'!$E$195</definedName>
    <definedName name="QB_ROW_140340" localSheetId="1" hidden="1">'P&amp;L'!$E$184</definedName>
    <definedName name="QB_ROW_140340" localSheetId="2" hidden="1">'P&amp;L by fund - QTD'!$E$142</definedName>
    <definedName name="QB_ROW_140340" localSheetId="3" hidden="1">'P&amp;L by fund - YTD'!$E$183</definedName>
    <definedName name="QB_ROW_141250" localSheetId="4" hidden="1">'Budget V Actual - YTD'!$F$194</definedName>
    <definedName name="QB_ROW_141250" localSheetId="1" hidden="1">'P&amp;L'!$F$183</definedName>
    <definedName name="QB_ROW_141250" localSheetId="3" hidden="1">'P&amp;L by fund - YTD'!$F$182</definedName>
    <definedName name="QB_ROW_142040" localSheetId="4" hidden="1">'Budget V Actual - YTD'!$E$230</definedName>
    <definedName name="QB_ROW_142040" localSheetId="1" hidden="1">'P&amp;L'!$E$219</definedName>
    <definedName name="QB_ROW_142040" localSheetId="2" hidden="1">'P&amp;L by fund - QTD'!$E$167</definedName>
    <definedName name="QB_ROW_142040" localSheetId="3" hidden="1">'P&amp;L by fund - YTD'!$E$218</definedName>
    <definedName name="QB_ROW_142340" localSheetId="4" hidden="1">'Budget V Actual - YTD'!$E$232</definedName>
    <definedName name="QB_ROW_142340" localSheetId="1" hidden="1">'P&amp;L'!$E$221</definedName>
    <definedName name="QB_ROW_142340" localSheetId="2" hidden="1">'P&amp;L by fund - QTD'!$E$169</definedName>
    <definedName name="QB_ROW_142340" localSheetId="3" hidden="1">'P&amp;L by fund - YTD'!$E$220</definedName>
    <definedName name="QB_ROW_143040" localSheetId="4" hidden="1">'Budget V Actual - YTD'!$E$233</definedName>
    <definedName name="QB_ROW_143040" localSheetId="1" hidden="1">'P&amp;L'!$E$222</definedName>
    <definedName name="QB_ROW_143040" localSheetId="2" hidden="1">'P&amp;L by fund - QTD'!$E$170</definedName>
    <definedName name="QB_ROW_143040" localSheetId="3" hidden="1">'P&amp;L by fund - YTD'!$E$221</definedName>
    <definedName name="QB_ROW_14311" localSheetId="0" hidden="1">'Balance Sheet'!$B$83</definedName>
    <definedName name="QB_ROW_143340" localSheetId="4" hidden="1">'Budget V Actual - YTD'!$E$235</definedName>
    <definedName name="QB_ROW_143340" localSheetId="1" hidden="1">'P&amp;L'!$E$224</definedName>
    <definedName name="QB_ROW_143340" localSheetId="2" hidden="1">'P&amp;L by fund - QTD'!$E$172</definedName>
    <definedName name="QB_ROW_143340" localSheetId="3" hidden="1">'P&amp;L by fund - YTD'!$E$223</definedName>
    <definedName name="QB_ROW_144250" localSheetId="4" hidden="1">'Budget V Actual - YTD'!$F$64</definedName>
    <definedName name="QB_ROW_144250" localSheetId="1" hidden="1">'P&amp;L'!$F$59</definedName>
    <definedName name="QB_ROW_144250" localSheetId="2" hidden="1">'P&amp;L by fund - QTD'!$F$44</definedName>
    <definedName name="QB_ROW_144250" localSheetId="3" hidden="1">'P&amp;L by fund - YTD'!$F$58</definedName>
    <definedName name="QB_ROW_145040" localSheetId="4" hidden="1">'Budget V Actual - YTD'!$E$209</definedName>
    <definedName name="QB_ROW_145040" localSheetId="1" hidden="1">'P&amp;L'!$E$198</definedName>
    <definedName name="QB_ROW_145040" localSheetId="2" hidden="1">'P&amp;L by fund - QTD'!$E$152</definedName>
    <definedName name="QB_ROW_145040" localSheetId="3" hidden="1">'P&amp;L by fund - YTD'!$E$197</definedName>
    <definedName name="QB_ROW_145340" localSheetId="4" hidden="1">'Budget V Actual - YTD'!$E$219</definedName>
    <definedName name="QB_ROW_145340" localSheetId="1" hidden="1">'P&amp;L'!$E$208</definedName>
    <definedName name="QB_ROW_145340" localSheetId="2" hidden="1">'P&amp;L by fund - QTD'!$E$159</definedName>
    <definedName name="QB_ROW_145340" localSheetId="3" hidden="1">'P&amp;L by fund - YTD'!$E$207</definedName>
    <definedName name="QB_ROW_149250" localSheetId="4" hidden="1">'Budget V Actual - YTD'!$F$135</definedName>
    <definedName name="QB_ROW_149250" localSheetId="1" hidden="1">'P&amp;L'!$F$123</definedName>
    <definedName name="QB_ROW_149250" localSheetId="2" hidden="1">'P&amp;L by fund - QTD'!$F$90</definedName>
    <definedName name="QB_ROW_149250" localSheetId="3" hidden="1">'P&amp;L by fund - YTD'!$F$122</definedName>
    <definedName name="QB_ROW_150040" localSheetId="4" hidden="1">'Budget V Actual - YTD'!$E$173</definedName>
    <definedName name="QB_ROW_150040" localSheetId="1" hidden="1">'P&amp;L'!$E$162</definedName>
    <definedName name="QB_ROW_150040" localSheetId="2" hidden="1">'P&amp;L by fund - QTD'!$E$123</definedName>
    <definedName name="QB_ROW_150040" localSheetId="3" hidden="1">'P&amp;L by fund - YTD'!$E$161</definedName>
    <definedName name="QB_ROW_15020" localSheetId="0" hidden="1">'Balance Sheet'!$C$53</definedName>
    <definedName name="QB_ROW_150340" localSheetId="4" hidden="1">'Budget V Actual - YTD'!$E$188</definedName>
    <definedName name="QB_ROW_150340" localSheetId="1" hidden="1">'P&amp;L'!$E$177</definedName>
    <definedName name="QB_ROW_150340" localSheetId="2" hidden="1">'P&amp;L by fund - QTD'!$E$136</definedName>
    <definedName name="QB_ROW_150340" localSheetId="3" hidden="1">'P&amp;L by fund - YTD'!$E$176</definedName>
    <definedName name="QB_ROW_151250" localSheetId="4" hidden="1">'Budget V Actual - YTD'!$F$177</definedName>
    <definedName name="QB_ROW_151250" localSheetId="1" hidden="1">'P&amp;L'!$F$166</definedName>
    <definedName name="QB_ROW_151250" localSheetId="2" hidden="1">'P&amp;L by fund - QTD'!$F$127</definedName>
    <definedName name="QB_ROW_151250" localSheetId="3" hidden="1">'P&amp;L by fund - YTD'!$F$165</definedName>
    <definedName name="QB_ROW_152250" localSheetId="4" hidden="1">'Budget V Actual - YTD'!$F$185</definedName>
    <definedName name="QB_ROW_152250" localSheetId="1" hidden="1">'P&amp;L'!$F$174</definedName>
    <definedName name="QB_ROW_152250" localSheetId="2" hidden="1">'P&amp;L by fund - QTD'!$F$133</definedName>
    <definedName name="QB_ROW_152250" localSheetId="3" hidden="1">'P&amp;L by fund - YTD'!$F$173</definedName>
    <definedName name="QB_ROW_15320" localSheetId="0" hidden="1">'Balance Sheet'!$C$56</definedName>
    <definedName name="QB_ROW_153240" localSheetId="0" hidden="1">'Balance Sheet'!$E$6</definedName>
    <definedName name="QB_ROW_155240" localSheetId="0" hidden="1">'Balance Sheet'!$E$31</definedName>
    <definedName name="QB_ROW_161250" localSheetId="4" hidden="1">'Budget V Actual - YTD'!$F$52</definedName>
    <definedName name="QB_ROW_161250" localSheetId="1" hidden="1">'P&amp;L'!$F$47</definedName>
    <definedName name="QB_ROW_161250" localSheetId="2" hidden="1">'P&amp;L by fund - QTD'!$F$34</definedName>
    <definedName name="QB_ROW_161250" localSheetId="3" hidden="1">'P&amp;L by fund - YTD'!$F$46</definedName>
    <definedName name="QB_ROW_16220" localSheetId="0" hidden="1">'Balance Sheet'!$C$57</definedName>
    <definedName name="QB_ROW_162250" localSheetId="4" hidden="1">'Budget V Actual - YTD'!$F$129</definedName>
    <definedName name="QB_ROW_162250" localSheetId="1" hidden="1">'P&amp;L'!$F$117</definedName>
    <definedName name="QB_ROW_162250" localSheetId="3" hidden="1">'P&amp;L by fund - YTD'!$F$116</definedName>
    <definedName name="QB_ROW_164230" localSheetId="0" hidden="1">'Balance Sheet'!$D$55</definedName>
    <definedName name="QB_ROW_167250" localSheetId="4" hidden="1">'Budget V Actual - YTD'!$F$86</definedName>
    <definedName name="QB_ROW_167250" localSheetId="1" hidden="1">'P&amp;L'!$F$81</definedName>
    <definedName name="QB_ROW_167250" localSheetId="2" hidden="1">'P&amp;L by fund - QTD'!$F$60</definedName>
    <definedName name="QB_ROW_167250" localSheetId="3" hidden="1">'P&amp;L by fund - YTD'!$F$80</definedName>
    <definedName name="QB_ROW_168250" localSheetId="4" hidden="1">'Budget V Actual - YTD'!$F$248</definedName>
    <definedName name="QB_ROW_168250" localSheetId="1" hidden="1">'P&amp;L'!$F$237</definedName>
    <definedName name="QB_ROW_168250" localSheetId="2" hidden="1">'P&amp;L by fund - QTD'!$F$179</definedName>
    <definedName name="QB_ROW_168250" localSheetId="3" hidden="1">'P&amp;L by fund - YTD'!$F$236</definedName>
    <definedName name="QB_ROW_169250" localSheetId="4" hidden="1">'Budget V Actual - YTD'!$F$155</definedName>
    <definedName name="QB_ROW_169250" localSheetId="1" hidden="1">'P&amp;L'!$F$141</definedName>
    <definedName name="QB_ROW_169250" localSheetId="2" hidden="1">'P&amp;L by fund - QTD'!$F$104</definedName>
    <definedName name="QB_ROW_169250" localSheetId="3" hidden="1">'P&amp;L by fund - YTD'!$F$140</definedName>
    <definedName name="QB_ROW_170040" localSheetId="4" hidden="1">'Budget V Actual - YTD'!$E$160</definedName>
    <definedName name="QB_ROW_170040" localSheetId="1" hidden="1">'P&amp;L'!$E$146</definedName>
    <definedName name="QB_ROW_170040" localSheetId="2" hidden="1">'P&amp;L by fund - QTD'!$E$109</definedName>
    <definedName name="QB_ROW_170040" localSheetId="3" hidden="1">'P&amp;L by fund - YTD'!$E$145</definedName>
    <definedName name="QB_ROW_170340" localSheetId="4" hidden="1">'Budget V Actual - YTD'!$E$163</definedName>
    <definedName name="QB_ROW_170340" localSheetId="1" hidden="1">'P&amp;L'!$E$149</definedName>
    <definedName name="QB_ROW_170340" localSheetId="2" hidden="1">'P&amp;L by fund - QTD'!$E$111</definedName>
    <definedName name="QB_ROW_170340" localSheetId="3" hidden="1">'P&amp;L by fund - YTD'!$E$148</definedName>
    <definedName name="QB_ROW_171040" localSheetId="4" hidden="1">'Budget V Actual - YTD'!$E$196</definedName>
    <definedName name="QB_ROW_171040" localSheetId="1" hidden="1">'P&amp;L'!$E$185</definedName>
    <definedName name="QB_ROW_171040" localSheetId="2" hidden="1">'P&amp;L by fund - QTD'!$E$143</definedName>
    <definedName name="QB_ROW_171040" localSheetId="3" hidden="1">'P&amp;L by fund - YTD'!$E$184</definedName>
    <definedName name="QB_ROW_171340" localSheetId="4" hidden="1">'Budget V Actual - YTD'!$E$198</definedName>
    <definedName name="QB_ROW_171340" localSheetId="1" hidden="1">'P&amp;L'!$E$187</definedName>
    <definedName name="QB_ROW_171340" localSheetId="2" hidden="1">'P&amp;L by fund - QTD'!$E$145</definedName>
    <definedName name="QB_ROW_171340" localSheetId="3" hidden="1">'P&amp;L by fund - YTD'!$E$186</definedName>
    <definedName name="QB_ROW_17221" localSheetId="0" hidden="1">'Balance Sheet'!$C$82</definedName>
    <definedName name="QB_ROW_17240" localSheetId="0" hidden="1">'Balance Sheet'!$E$64</definedName>
    <definedName name="QB_ROW_176250" localSheetId="4" hidden="1">'Budget V Actual - YTD'!$F$178</definedName>
    <definedName name="QB_ROW_176250" localSheetId="1" hidden="1">'P&amp;L'!$F$167</definedName>
    <definedName name="QB_ROW_176250" localSheetId="2" hidden="1">'P&amp;L by fund - QTD'!$F$128</definedName>
    <definedName name="QB_ROW_176250" localSheetId="3" hidden="1">'P&amp;L by fund - YTD'!$F$166</definedName>
    <definedName name="QB_ROW_178240" localSheetId="0" hidden="1">'Balance Sheet'!$E$7</definedName>
    <definedName name="QB_ROW_179040" localSheetId="4" hidden="1">'Budget V Actual - YTD'!$E$144</definedName>
    <definedName name="QB_ROW_179040" localSheetId="1" hidden="1">'P&amp;L'!$E$132</definedName>
    <definedName name="QB_ROW_179040" localSheetId="2" hidden="1">'P&amp;L by fund - QTD'!$E$97</definedName>
    <definedName name="QB_ROW_179040" localSheetId="3" hidden="1">'P&amp;L by fund - YTD'!$E$131</definedName>
    <definedName name="QB_ROW_179340" localSheetId="4" hidden="1">'Budget V Actual - YTD'!$E$153</definedName>
    <definedName name="QB_ROW_179340" localSheetId="1" hidden="1">'P&amp;L'!$E$139</definedName>
    <definedName name="QB_ROW_179340" localSheetId="2" hidden="1">'P&amp;L by fund - QTD'!$E$102</definedName>
    <definedName name="QB_ROW_179340" localSheetId="3" hidden="1">'P&amp;L by fund - YTD'!$E$138</definedName>
    <definedName name="QB_ROW_18301" localSheetId="4" hidden="1">'Budget V Actual - YTD'!$A$263</definedName>
    <definedName name="QB_ROW_18301" localSheetId="1" hidden="1">'P&amp;L'!$A$251</definedName>
    <definedName name="QB_ROW_18301" localSheetId="2" hidden="1">'P&amp;L by fund - QTD'!$A$190</definedName>
    <definedName name="QB_ROW_18301" localSheetId="3" hidden="1">'P&amp;L by fund - YTD'!$A$250</definedName>
    <definedName name="QB_ROW_185040" localSheetId="4" hidden="1">'Budget V Actual - YTD'!$E$123</definedName>
    <definedName name="QB_ROW_185040" localSheetId="1" hidden="1">'P&amp;L'!$E$112</definedName>
    <definedName name="QB_ROW_185040" localSheetId="2" hidden="1">'P&amp;L by fund - QTD'!$E$80</definedName>
    <definedName name="QB_ROW_185040" localSheetId="3" hidden="1">'P&amp;L by fund - YTD'!$E$111</definedName>
    <definedName name="QB_ROW_185340" localSheetId="4" hidden="1">'Budget V Actual - YTD'!$E$127</definedName>
    <definedName name="QB_ROW_185340" localSheetId="1" hidden="1">'P&amp;L'!$E$115</definedName>
    <definedName name="QB_ROW_185340" localSheetId="2" hidden="1">'P&amp;L by fund - QTD'!$E$83</definedName>
    <definedName name="QB_ROW_185340" localSheetId="3" hidden="1">'P&amp;L by fund - YTD'!$E$114</definedName>
    <definedName name="QB_ROW_186250" localSheetId="4" hidden="1">'Budget V Actual - YTD'!$F$125</definedName>
    <definedName name="QB_ROW_186250" localSheetId="1" hidden="1">'P&amp;L'!$F$113</definedName>
    <definedName name="QB_ROW_186250" localSheetId="2" hidden="1">'P&amp;L by fund - QTD'!$F$81</definedName>
    <definedName name="QB_ROW_186250" localSheetId="3" hidden="1">'P&amp;L by fund - YTD'!$F$112</definedName>
    <definedName name="QB_ROW_188040" localSheetId="4" hidden="1">'Budget V Actual - YTD'!$E$189</definedName>
    <definedName name="QB_ROW_188040" localSheetId="1" hidden="1">'P&amp;L'!$E$178</definedName>
    <definedName name="QB_ROW_188040" localSheetId="2" hidden="1">'P&amp;L by fund - QTD'!$E$137</definedName>
    <definedName name="QB_ROW_188040" localSheetId="3" hidden="1">'P&amp;L by fund - YTD'!$E$177</definedName>
    <definedName name="QB_ROW_188340" localSheetId="4" hidden="1">'Budget V Actual - YTD'!$E$191</definedName>
    <definedName name="QB_ROW_188340" localSheetId="1" hidden="1">'P&amp;L'!$E$180</definedName>
    <definedName name="QB_ROW_188340" localSheetId="2" hidden="1">'P&amp;L by fund - QTD'!$E$139</definedName>
    <definedName name="QB_ROW_188340" localSheetId="3" hidden="1">'P&amp;L by fund - YTD'!$E$179</definedName>
    <definedName name="QB_ROW_189250" localSheetId="4" hidden="1">'Budget V Actual - YTD'!$F$190</definedName>
    <definedName name="QB_ROW_189250" localSheetId="1" hidden="1">'P&amp;L'!$F$179</definedName>
    <definedName name="QB_ROW_189250" localSheetId="2" hidden="1">'P&amp;L by fund - QTD'!$F$138</definedName>
    <definedName name="QB_ROW_189250" localSheetId="3" hidden="1">'P&amp;L by fund - YTD'!$F$178</definedName>
    <definedName name="QB_ROW_19011" localSheetId="4" hidden="1">'Budget V Actual - YTD'!$B$3</definedName>
    <definedName name="QB_ROW_19011" localSheetId="1" hidden="1">'P&amp;L'!$B$3</definedName>
    <definedName name="QB_ROW_19011" localSheetId="2" hidden="1">'P&amp;L by fund - QTD'!$B$2</definedName>
    <definedName name="QB_ROW_19011" localSheetId="3" hidden="1">'P&amp;L by fund - YTD'!$B$2</definedName>
    <definedName name="QB_ROW_190250" localSheetId="4" hidden="1">'Budget V Actual - YTD'!$F$169</definedName>
    <definedName name="QB_ROW_190250" localSheetId="1" hidden="1">'P&amp;L'!$F$158</definedName>
    <definedName name="QB_ROW_190250" localSheetId="3" hidden="1">'P&amp;L by fund - YTD'!$F$157</definedName>
    <definedName name="QB_ROW_19311" localSheetId="4" hidden="1">'Budget V Actual - YTD'!$B$256</definedName>
    <definedName name="QB_ROW_19311" localSheetId="1" hidden="1">'P&amp;L'!$B$245</definedName>
    <definedName name="QB_ROW_19311" localSheetId="2" hidden="1">'P&amp;L by fund - QTD'!$B$184</definedName>
    <definedName name="QB_ROW_19311" localSheetId="3" hidden="1">'P&amp;L by fund - YTD'!$B$244</definedName>
    <definedName name="QB_ROW_194240" localSheetId="4" hidden="1">'Budget V Actual - YTD'!$E$33</definedName>
    <definedName name="QB_ROW_194240" localSheetId="1" hidden="1">'P&amp;L'!$E$29</definedName>
    <definedName name="QB_ROW_194240" localSheetId="3" hidden="1">'P&amp;L by fund - YTD'!$E$28</definedName>
    <definedName name="QB_ROW_195250" localSheetId="4" hidden="1">'Budget V Actual - YTD'!$F$186</definedName>
    <definedName name="QB_ROW_195250" localSheetId="1" hidden="1">'P&amp;L'!$F$175</definedName>
    <definedName name="QB_ROW_195250" localSheetId="2" hidden="1">'P&amp;L by fund - QTD'!$F$134</definedName>
    <definedName name="QB_ROW_195250" localSheetId="3" hidden="1">'P&amp;L by fund - YTD'!$F$174</definedName>
    <definedName name="QB_ROW_196250" localSheetId="4" hidden="1">'Budget V Actual - YTD'!$F$180</definedName>
    <definedName name="QB_ROW_196250" localSheetId="1" hidden="1">'P&amp;L'!$F$169</definedName>
    <definedName name="QB_ROW_196250" localSheetId="2" hidden="1">'P&amp;L by fund - QTD'!$F$130</definedName>
    <definedName name="QB_ROW_196250" localSheetId="3" hidden="1">'P&amp;L by fund - YTD'!$F$168</definedName>
    <definedName name="QB_ROW_197250" localSheetId="4" hidden="1">'Budget V Actual - YTD'!$F$187</definedName>
    <definedName name="QB_ROW_197250" localSheetId="1" hidden="1">'P&amp;L'!$F$176</definedName>
    <definedName name="QB_ROW_197250" localSheetId="2" hidden="1">'P&amp;L by fund - QTD'!$F$135</definedName>
    <definedName name="QB_ROW_197250" localSheetId="3" hidden="1">'P&amp;L by fund - YTD'!$F$175</definedName>
    <definedName name="QB_ROW_198240" localSheetId="4" hidden="1">'Budget V Actual - YTD'!$E$39</definedName>
    <definedName name="QB_ROW_198240" localSheetId="1" hidden="1">'P&amp;L'!$E$35</definedName>
    <definedName name="QB_ROW_198240" localSheetId="3" hidden="1">'P&amp;L by fund - YTD'!$E$34</definedName>
    <definedName name="QB_ROW_199250" localSheetId="4" hidden="1">'Budget V Actual - YTD'!$F$145</definedName>
    <definedName name="QB_ROW_199250" localSheetId="1" hidden="1">'P&amp;L'!$F$133</definedName>
    <definedName name="QB_ROW_199250" localSheetId="2" hidden="1">'P&amp;L by fund - QTD'!$F$98</definedName>
    <definedName name="QB_ROW_199250" localSheetId="3" hidden="1">'P&amp;L by fund - YTD'!$F$132</definedName>
    <definedName name="QB_ROW_200250" localSheetId="4" hidden="1">'Budget V Actual - YTD'!$F$149</definedName>
    <definedName name="QB_ROW_200250" localSheetId="1" hidden="1">'P&amp;L'!$F$136</definedName>
    <definedName name="QB_ROW_200250" localSheetId="2" hidden="1">'P&amp;L by fund - QTD'!$F$99</definedName>
    <definedName name="QB_ROW_200250" localSheetId="3" hidden="1">'P&amp;L by fund - YTD'!$F$135</definedName>
    <definedName name="QB_ROW_20031" localSheetId="4" hidden="1">'Budget V Actual - YTD'!$D$4</definedName>
    <definedName name="QB_ROW_20031" localSheetId="1" hidden="1">'P&amp;L'!$D$4</definedName>
    <definedName name="QB_ROW_20031" localSheetId="2" hidden="1">'P&amp;L by fund - QTD'!$D$3</definedName>
    <definedName name="QB_ROW_20031" localSheetId="3" hidden="1">'P&amp;L by fund - YTD'!$D$3</definedName>
    <definedName name="QB_ROW_201250" localSheetId="4" hidden="1">'Budget V Actual - YTD'!$F$107</definedName>
    <definedName name="QB_ROW_201250" localSheetId="1" hidden="1">'P&amp;L'!$F$102</definedName>
    <definedName name="QB_ROW_201250" localSheetId="3" hidden="1">'P&amp;L by fund - YTD'!$F$101</definedName>
    <definedName name="QB_ROW_2021" localSheetId="0" hidden="1">'Balance Sheet'!$C$4</definedName>
    <definedName name="QB_ROW_203250" localSheetId="4" hidden="1">'Budget V Actual - YTD'!$F$193</definedName>
    <definedName name="QB_ROW_203250" localSheetId="1" hidden="1">'P&amp;L'!$F$182</definedName>
    <definedName name="QB_ROW_203250" localSheetId="2" hidden="1">'P&amp;L by fund - QTD'!$F$141</definedName>
    <definedName name="QB_ROW_203250" localSheetId="3" hidden="1">'P&amp;L by fund - YTD'!$F$181</definedName>
    <definedName name="QB_ROW_20331" localSheetId="4" hidden="1">'Budget V Actual - YTD'!$D$36</definedName>
    <definedName name="QB_ROW_20331" localSheetId="1" hidden="1">'P&amp;L'!$D$32</definedName>
    <definedName name="QB_ROW_20331" localSheetId="2" hidden="1">'P&amp;L by fund - QTD'!$D$21</definedName>
    <definedName name="QB_ROW_20331" localSheetId="3" hidden="1">'P&amp;L by fund - YTD'!$D$31</definedName>
    <definedName name="QB_ROW_204250" localSheetId="4" hidden="1">'Budget V Actual - YTD'!$F$67</definedName>
    <definedName name="QB_ROW_204250" localSheetId="1" hidden="1">'P&amp;L'!$F$62</definedName>
    <definedName name="QB_ROW_204250" localSheetId="2" hidden="1">'P&amp;L by fund - QTD'!$F$47</definedName>
    <definedName name="QB_ROW_204250" localSheetId="3" hidden="1">'P&amp;L by fund - YTD'!$F$61</definedName>
    <definedName name="QB_ROW_205250" localSheetId="4" hidden="1">'Budget V Actual - YTD'!$F$69</definedName>
    <definedName name="QB_ROW_205250" localSheetId="1" hidden="1">'P&amp;L'!$F$64</definedName>
    <definedName name="QB_ROW_205250" localSheetId="2" hidden="1">'P&amp;L by fund - QTD'!$F$48</definedName>
    <definedName name="QB_ROW_205250" localSheetId="3" hidden="1">'P&amp;L by fund - YTD'!$F$63</definedName>
    <definedName name="QB_ROW_206250" localSheetId="4" hidden="1">'Budget V Actual - YTD'!$F$141</definedName>
    <definedName name="QB_ROW_206250" localSheetId="1" hidden="1">'P&amp;L'!$F$129</definedName>
    <definedName name="QB_ROW_206250" localSheetId="2" hidden="1">'P&amp;L by fund - QTD'!$F$94</definedName>
    <definedName name="QB_ROW_206250" localSheetId="3" hidden="1">'P&amp;L by fund - YTD'!$F$128</definedName>
    <definedName name="QB_ROW_208230" localSheetId="4" hidden="1">'Budget V Actual - YTD'!$D$260</definedName>
    <definedName name="QB_ROW_209250" localSheetId="4" hidden="1">'Budget V Actual - YTD'!$F$179</definedName>
    <definedName name="QB_ROW_209250" localSheetId="1" hidden="1">'P&amp;L'!$F$168</definedName>
    <definedName name="QB_ROW_209250" localSheetId="2" hidden="1">'P&amp;L by fund - QTD'!$F$129</definedName>
    <definedName name="QB_ROW_209250" localSheetId="3" hidden="1">'P&amp;L by fund - YTD'!$F$167</definedName>
    <definedName name="QB_ROW_210240" localSheetId="4" hidden="1">'Budget V Actual - YTD'!$E$12</definedName>
    <definedName name="QB_ROW_210240" localSheetId="1" hidden="1">'P&amp;L'!$E$14</definedName>
    <definedName name="QB_ROW_210240" localSheetId="3" hidden="1">'P&amp;L by fund - YTD'!$E$13</definedName>
    <definedName name="QB_ROW_21031" localSheetId="4" hidden="1">'Budget V Actual - YTD'!$D$38</definedName>
    <definedName name="QB_ROW_21031" localSheetId="1" hidden="1">'P&amp;L'!$D$34</definedName>
    <definedName name="QB_ROW_21031" localSheetId="2" hidden="1">'P&amp;L by fund - QTD'!$D$23</definedName>
    <definedName name="QB_ROW_21031" localSheetId="3" hidden="1">'P&amp;L by fund - YTD'!$D$33</definedName>
    <definedName name="QB_ROW_213250" localSheetId="4" hidden="1">'Budget V Actual - YTD'!$F$82</definedName>
    <definedName name="QB_ROW_213250" localSheetId="1" hidden="1">'P&amp;L'!$F$77</definedName>
    <definedName name="QB_ROW_213250" localSheetId="2" hidden="1">'P&amp;L by fund - QTD'!$F$57</definedName>
    <definedName name="QB_ROW_213250" localSheetId="3" hidden="1">'P&amp;L by fund - YTD'!$F$76</definedName>
    <definedName name="QB_ROW_21331" localSheetId="4" hidden="1">'Budget V Actual - YTD'!$D$255</definedName>
    <definedName name="QB_ROW_21331" localSheetId="1" hidden="1">'P&amp;L'!$D$244</definedName>
    <definedName name="QB_ROW_21331" localSheetId="2" hidden="1">'P&amp;L by fund - QTD'!$D$183</definedName>
    <definedName name="QB_ROW_21331" localSheetId="3" hidden="1">'P&amp;L by fund - YTD'!$D$243</definedName>
    <definedName name="QB_ROW_216250" localSheetId="4" hidden="1">'Budget V Actual - YTD'!$F$85</definedName>
    <definedName name="QB_ROW_216250" localSheetId="1" hidden="1">'P&amp;L'!$F$80</definedName>
    <definedName name="QB_ROW_216250" localSheetId="3" hidden="1">'P&amp;L by fund - YTD'!$F$79</definedName>
    <definedName name="QB_ROW_217250" localSheetId="4" hidden="1">'Budget V Actual - YTD'!$F$47</definedName>
    <definedName name="QB_ROW_217250" localSheetId="1" hidden="1">'P&amp;L'!$F$42</definedName>
    <definedName name="QB_ROW_217250" localSheetId="2" hidden="1">'P&amp;L by fund - QTD'!$F$29</definedName>
    <definedName name="QB_ROW_217250" localSheetId="3" hidden="1">'P&amp;L by fund - YTD'!$F$41</definedName>
    <definedName name="QB_ROW_218250" localSheetId="4" hidden="1">'Budget V Actual - YTD'!$F$68</definedName>
    <definedName name="QB_ROW_218250" localSheetId="1" hidden="1">'P&amp;L'!$F$63</definedName>
    <definedName name="QB_ROW_218250" localSheetId="3" hidden="1">'P&amp;L by fund - YTD'!$F$62</definedName>
    <definedName name="QB_ROW_219250" localSheetId="4" hidden="1">'Budget V Actual - YTD'!$F$105</definedName>
    <definedName name="QB_ROW_219250" localSheetId="1" hidden="1">'P&amp;L'!$F$100</definedName>
    <definedName name="QB_ROW_219250" localSheetId="3" hidden="1">'P&amp;L by fund - YTD'!$F$99</definedName>
    <definedName name="QB_ROW_22011" localSheetId="4" hidden="1">'Budget V Actual - YTD'!$B$257</definedName>
    <definedName name="QB_ROW_22011" localSheetId="1" hidden="1">'P&amp;L'!$B$246</definedName>
    <definedName name="QB_ROW_22011" localSheetId="2" hidden="1">'P&amp;L by fund - QTD'!$B$185</definedName>
    <definedName name="QB_ROW_22011" localSheetId="3" hidden="1">'P&amp;L by fund - YTD'!$B$245</definedName>
    <definedName name="QB_ROW_220250" localSheetId="4" hidden="1">'Budget V Actual - YTD'!$F$118</definedName>
    <definedName name="QB_ROW_2220" localSheetId="0" hidden="1">'Balance Sheet'!$C$81</definedName>
    <definedName name="QB_ROW_22311" localSheetId="4" hidden="1">'Budget V Actual - YTD'!$B$262</definedName>
    <definedName name="QB_ROW_22311" localSheetId="1" hidden="1">'P&amp;L'!$B$250</definedName>
    <definedName name="QB_ROW_22311" localSheetId="2" hidden="1">'P&amp;L by fund - QTD'!$B$189</definedName>
    <definedName name="QB_ROW_22311" localSheetId="3" hidden="1">'P&amp;L by fund - YTD'!$B$249</definedName>
    <definedName name="QB_ROW_224250" localSheetId="4" hidden="1">'Budget V Actual - YTD'!$F$158</definedName>
    <definedName name="QB_ROW_224250" localSheetId="1" hidden="1">'P&amp;L'!$F$144</definedName>
    <definedName name="QB_ROW_224250" localSheetId="2" hidden="1">'P&amp;L by fund - QTD'!$F$107</definedName>
    <definedName name="QB_ROW_224250" localSheetId="3" hidden="1">'P&amp;L by fund - YTD'!$F$143</definedName>
    <definedName name="QB_ROW_225250" localSheetId="4" hidden="1">'Budget V Actual - YTD'!$F$101</definedName>
    <definedName name="QB_ROW_225250" localSheetId="1" hidden="1">'P&amp;L'!$F$96</definedName>
    <definedName name="QB_ROW_225250" localSheetId="3" hidden="1">'P&amp;L by fund - YTD'!$F$95</definedName>
    <definedName name="QB_ROW_226250" localSheetId="4" hidden="1">'Budget V Actual - YTD'!$F$124</definedName>
    <definedName name="QB_ROW_228250" localSheetId="4" hidden="1">'Budget V Actual - YTD'!$F$148</definedName>
    <definedName name="QB_ROW_228250" localSheetId="1" hidden="1">'P&amp;L'!$F$135</definedName>
    <definedName name="QB_ROW_228250" localSheetId="3" hidden="1">'P&amp;L by fund - YTD'!$F$134</definedName>
    <definedName name="QB_ROW_230250" localSheetId="4" hidden="1">'Budget V Actual - YTD'!$F$152</definedName>
    <definedName name="QB_ROW_230250" localSheetId="1" hidden="1">'P&amp;L'!$F$138</definedName>
    <definedName name="QB_ROW_230250" localSheetId="2" hidden="1">'P&amp;L by fund - QTD'!$F$101</definedName>
    <definedName name="QB_ROW_230250" localSheetId="3" hidden="1">'P&amp;L by fund - YTD'!$F$137</definedName>
    <definedName name="QB_ROW_231040" localSheetId="4" hidden="1">'Budget V Actual - YTD'!$E$220</definedName>
    <definedName name="QB_ROW_231040" localSheetId="1" hidden="1">'P&amp;L'!$E$209</definedName>
    <definedName name="QB_ROW_231040" localSheetId="2" hidden="1">'P&amp;L by fund - QTD'!$E$160</definedName>
    <definedName name="QB_ROW_231040" localSheetId="3" hidden="1">'P&amp;L by fund - YTD'!$E$208</definedName>
    <definedName name="QB_ROW_231340" localSheetId="4" hidden="1">'Budget V Actual - YTD'!$E$229</definedName>
    <definedName name="QB_ROW_231340" localSheetId="1" hidden="1">'P&amp;L'!$E$218</definedName>
    <definedName name="QB_ROW_231340" localSheetId="2" hidden="1">'P&amp;L by fund - QTD'!$E$166</definedName>
    <definedName name="QB_ROW_231340" localSheetId="3" hidden="1">'P&amp;L by fund - YTD'!$E$217</definedName>
    <definedName name="QB_ROW_2321" localSheetId="0" hidden="1">'Balance Sheet'!$C$39</definedName>
    <definedName name="QB_ROW_237040" localSheetId="1" hidden="1">'P&amp;L'!$E$150</definedName>
    <definedName name="QB_ROW_237040" localSheetId="2" hidden="1">'P&amp;L by fund - QTD'!$E$112</definedName>
    <definedName name="QB_ROW_237040" localSheetId="3" hidden="1">'P&amp;L by fund - YTD'!$E$149</definedName>
    <definedName name="QB_ROW_237340" localSheetId="1" hidden="1">'P&amp;L'!$E$152</definedName>
    <definedName name="QB_ROW_237340" localSheetId="2" hidden="1">'P&amp;L by fund - QTD'!$E$114</definedName>
    <definedName name="QB_ROW_237340" localSheetId="3" hidden="1">'P&amp;L by fund - YTD'!$E$151</definedName>
    <definedName name="QB_ROW_238250" localSheetId="1" hidden="1">'P&amp;L'!$F$151</definedName>
    <definedName name="QB_ROW_238250" localSheetId="2" hidden="1">'P&amp;L by fund - QTD'!$F$113</definedName>
    <definedName name="QB_ROW_238250" localSheetId="3" hidden="1">'P&amp;L by fund - YTD'!$F$150</definedName>
    <definedName name="QB_ROW_239250" localSheetId="4" hidden="1">'Budget V Actual - YTD'!$F$182</definedName>
    <definedName name="QB_ROW_239250" localSheetId="1" hidden="1">'P&amp;L'!$F$171</definedName>
    <definedName name="QB_ROW_239250" localSheetId="2" hidden="1">'P&amp;L by fund - QTD'!$F$131</definedName>
    <definedName name="QB_ROW_239250" localSheetId="3" hidden="1">'P&amp;L by fund - YTD'!$F$170</definedName>
    <definedName name="QB_ROW_24021" localSheetId="4" hidden="1">'Budget V Actual - YTD'!$C$258</definedName>
    <definedName name="QB_ROW_24021" localSheetId="1" hidden="1">'P&amp;L'!$C$247</definedName>
    <definedName name="QB_ROW_24021" localSheetId="2" hidden="1">'P&amp;L by fund - QTD'!$C$186</definedName>
    <definedName name="QB_ROW_24021" localSheetId="3" hidden="1">'P&amp;L by fund - YTD'!$C$246</definedName>
    <definedName name="QB_ROW_240250" localSheetId="4" hidden="1">'Budget V Actual - YTD'!$F$151</definedName>
    <definedName name="QB_ROW_240250" localSheetId="1" hidden="1">'P&amp;L'!$F$137</definedName>
    <definedName name="QB_ROW_240250" localSheetId="2" hidden="1">'P&amp;L by fund - QTD'!$F$100</definedName>
    <definedName name="QB_ROW_240250" localSheetId="3" hidden="1">'P&amp;L by fund - YTD'!$F$136</definedName>
    <definedName name="QB_ROW_241250" localSheetId="4" hidden="1">'Budget V Actual - YTD'!$F$111</definedName>
    <definedName name="QB_ROW_241250" localSheetId="1" hidden="1">'P&amp;L'!$F$106</definedName>
    <definedName name="QB_ROW_241250" localSheetId="2" hidden="1">'P&amp;L by fund - QTD'!$F$76</definedName>
    <definedName name="QB_ROW_241250" localSheetId="3" hidden="1">'P&amp;L by fund - YTD'!$F$105</definedName>
    <definedName name="QB_ROW_242240" localSheetId="0" hidden="1">'Balance Sheet'!$E$69</definedName>
    <definedName name="QB_ROW_24321" localSheetId="4" hidden="1">'Budget V Actual - YTD'!$C$261</definedName>
    <definedName name="QB_ROW_24321" localSheetId="1" hidden="1">'P&amp;L'!$C$249</definedName>
    <definedName name="QB_ROW_24321" localSheetId="2" hidden="1">'P&amp;L by fund - QTD'!$C$188</definedName>
    <definedName name="QB_ROW_24321" localSheetId="3" hidden="1">'P&amp;L by fund - YTD'!$C$248</definedName>
    <definedName name="QB_ROW_244240" localSheetId="0" hidden="1">'Balance Sheet'!$E$28</definedName>
    <definedName name="QB_ROW_246250" localSheetId="4" hidden="1">'Budget V Actual - YTD'!$F$162</definedName>
    <definedName name="QB_ROW_246250" localSheetId="1" hidden="1">'P&amp;L'!$F$148</definedName>
    <definedName name="QB_ROW_246250" localSheetId="3" hidden="1">'P&amp;L by fund - YTD'!$F$147</definedName>
    <definedName name="QB_ROW_247250" localSheetId="4" hidden="1">'Budget V Actual - YTD'!$F$138</definedName>
    <definedName name="QB_ROW_247250" localSheetId="1" hidden="1">'P&amp;L'!$F$126</definedName>
    <definedName name="QB_ROW_247250" localSheetId="3" hidden="1">'P&amp;L by fund - YTD'!$F$125</definedName>
    <definedName name="QB_ROW_249250" localSheetId="4" hidden="1">'Budget V Actual - YTD'!$F$221</definedName>
    <definedName name="QB_ROW_249250" localSheetId="1" hidden="1">'P&amp;L'!$F$210</definedName>
    <definedName name="QB_ROW_249250" localSheetId="2" hidden="1">'P&amp;L by fund - QTD'!$F$161</definedName>
    <definedName name="QB_ROW_249250" localSheetId="3" hidden="1">'P&amp;L by fund - YTD'!$F$209</definedName>
    <definedName name="QB_ROW_250250" localSheetId="4" hidden="1">'Budget V Actual - YTD'!$F$225</definedName>
    <definedName name="QB_ROW_250250" localSheetId="1" hidden="1">'P&amp;L'!$F$214</definedName>
    <definedName name="QB_ROW_250250" localSheetId="2" hidden="1">'P&amp;L by fund - QTD'!$F$164</definedName>
    <definedName name="QB_ROW_250250" localSheetId="3" hidden="1">'P&amp;L by fund - YTD'!$F$213</definedName>
    <definedName name="QB_ROW_251250" localSheetId="4" hidden="1">'Budget V Actual - YTD'!$F$224</definedName>
    <definedName name="QB_ROW_251250" localSheetId="1" hidden="1">'P&amp;L'!$F$213</definedName>
    <definedName name="QB_ROW_251250" localSheetId="2" hidden="1">'P&amp;L by fund - QTD'!$F$163</definedName>
    <definedName name="QB_ROW_251250" localSheetId="3" hidden="1">'P&amp;L by fund - YTD'!$F$212</definedName>
    <definedName name="QB_ROW_252250" localSheetId="4" hidden="1">'Budget V Actual - YTD'!$F$181</definedName>
    <definedName name="QB_ROW_252250" localSheetId="1" hidden="1">'P&amp;L'!$F$170</definedName>
    <definedName name="QB_ROW_252250" localSheetId="3" hidden="1">'P&amp;L by fund - YTD'!$F$169</definedName>
    <definedName name="QB_ROW_253250" localSheetId="4" hidden="1">'Budget V Actual - YTD'!$F$168</definedName>
    <definedName name="QB_ROW_253250" localSheetId="1" hidden="1">'P&amp;L'!$F$157</definedName>
    <definedName name="QB_ROW_253250" localSheetId="2" hidden="1">'P&amp;L by fund - QTD'!$F$119</definedName>
    <definedName name="QB_ROW_253250" localSheetId="3" hidden="1">'P&amp;L by fund - YTD'!$F$156</definedName>
    <definedName name="QB_ROW_255230" localSheetId="0" hidden="1">'Balance Sheet'!$D$54</definedName>
    <definedName name="QB_ROW_256230" localSheetId="4" hidden="1">'Budget V Actual - YTD'!$D$259</definedName>
    <definedName name="QB_ROW_256230" localSheetId="1" hidden="1">'P&amp;L'!$D$248</definedName>
    <definedName name="QB_ROW_256230" localSheetId="2" hidden="1">'P&amp;L by fund - QTD'!$D$187</definedName>
    <definedName name="QB_ROW_256230" localSheetId="3" hidden="1">'P&amp;L by fund - YTD'!$D$247</definedName>
    <definedName name="QB_ROW_263250" localSheetId="4" hidden="1">'Budget V Actual - YTD'!$F$132</definedName>
    <definedName name="QB_ROW_263250" localSheetId="1" hidden="1">'P&amp;L'!$F$120</definedName>
    <definedName name="QB_ROW_263250" localSheetId="2" hidden="1">'P&amp;L by fund - QTD'!$F$87</definedName>
    <definedName name="QB_ROW_263250" localSheetId="3" hidden="1">'P&amp;L by fund - YTD'!$F$119</definedName>
    <definedName name="QB_ROW_270240" localSheetId="4" hidden="1">'Budget V Actual - YTD'!$E$24</definedName>
    <definedName name="QB_ROW_270240" localSheetId="1" hidden="1">'P&amp;L'!$E$21</definedName>
    <definedName name="QB_ROW_270240" localSheetId="2" hidden="1">'P&amp;L by fund - QTD'!$E$15</definedName>
    <definedName name="QB_ROW_270240" localSheetId="3" hidden="1">'P&amp;L by fund - YTD'!$E$20</definedName>
    <definedName name="QB_ROW_271250" localSheetId="4" hidden="1">'Budget V Actual - YTD'!$F$227</definedName>
    <definedName name="QB_ROW_271250" localSheetId="1" hidden="1">'P&amp;L'!$F$216</definedName>
    <definedName name="QB_ROW_271250" localSheetId="2" hidden="1">'P&amp;L by fund - QTD'!$F$165</definedName>
    <definedName name="QB_ROW_271250" localSheetId="3" hidden="1">'P&amp;L by fund - YTD'!$F$215</definedName>
    <definedName name="QB_ROW_27220" localSheetId="0" hidden="1">'Balance Sheet'!$C$80</definedName>
    <definedName name="QB_ROW_274250" localSheetId="4" hidden="1">'Budget V Actual - YTD'!$F$126</definedName>
    <definedName name="QB_ROW_274250" localSheetId="1" hidden="1">'P&amp;L'!$F$114</definedName>
    <definedName name="QB_ROW_274250" localSheetId="2" hidden="1">'P&amp;L by fund - QTD'!$F$82</definedName>
    <definedName name="QB_ROW_274250" localSheetId="3" hidden="1">'P&amp;L by fund - YTD'!$F$113</definedName>
    <definedName name="QB_ROW_277250" localSheetId="4" hidden="1">'Budget V Actual - YTD'!$F$60</definedName>
    <definedName name="QB_ROW_277250" localSheetId="1" hidden="1">'P&amp;L'!$F$55</definedName>
    <definedName name="QB_ROW_277250" localSheetId="2" hidden="1">'P&amp;L by fund - QTD'!$F$41</definedName>
    <definedName name="QB_ROW_277250" localSheetId="3" hidden="1">'P&amp;L by fund - YTD'!$F$54</definedName>
    <definedName name="QB_ROW_281240" localSheetId="0" hidden="1">'Balance Sheet'!$E$8</definedName>
    <definedName name="QB_ROW_282250" localSheetId="4" hidden="1">'Budget V Actual - YTD'!$F$70</definedName>
    <definedName name="QB_ROW_282250" localSheetId="1" hidden="1">'P&amp;L'!$F$65</definedName>
    <definedName name="QB_ROW_282250" localSheetId="2" hidden="1">'P&amp;L by fund - QTD'!$F$49</definedName>
    <definedName name="QB_ROW_282250" localSheetId="3" hidden="1">'P&amp;L by fund - YTD'!$F$64</definedName>
    <definedName name="QB_ROW_283250" localSheetId="4" hidden="1">'Budget V Actual - YTD'!$F$78</definedName>
    <definedName name="QB_ROW_283250" localSheetId="1" hidden="1">'P&amp;L'!$F$73</definedName>
    <definedName name="QB_ROW_283250" localSheetId="2" hidden="1">'P&amp;L by fund - QTD'!$F$54</definedName>
    <definedName name="QB_ROW_283250" localSheetId="3" hidden="1">'P&amp;L by fund - YTD'!$F$72</definedName>
    <definedName name="QB_ROW_294020" localSheetId="0" hidden="1">'Balance Sheet'!$C$49</definedName>
    <definedName name="QB_ROW_294320" localSheetId="0" hidden="1">'Balance Sheet'!$C$52</definedName>
    <definedName name="QB_ROW_295230" localSheetId="0" hidden="1">'Balance Sheet'!$D$51</definedName>
    <definedName name="QB_ROW_299240" localSheetId="0" hidden="1">'Balance Sheet'!$E$9</definedName>
    <definedName name="QB_ROW_300240" localSheetId="0" hidden="1">'Balance Sheet'!$E$10</definedName>
    <definedName name="QB_ROW_301" localSheetId="0" hidden="1">'Balance Sheet'!$A$59</definedName>
    <definedName name="QB_ROW_301240" localSheetId="0" hidden="1">'Balance Sheet'!$E$68</definedName>
    <definedName name="QB_ROW_3021" localSheetId="0" hidden="1">'Balance Sheet'!$C$40</definedName>
    <definedName name="QB_ROW_305250" localSheetId="4" hidden="1">'Budget V Actual - YTD'!$F$48</definedName>
    <definedName name="QB_ROW_305250" localSheetId="1" hidden="1">'P&amp;L'!$F$43</definedName>
    <definedName name="QB_ROW_305250" localSheetId="2" hidden="1">'P&amp;L by fund - QTD'!$F$30</definedName>
    <definedName name="QB_ROW_305250" localSheetId="3" hidden="1">'P&amp;L by fund - YTD'!$F$42</definedName>
    <definedName name="QB_ROW_308240" localSheetId="4" hidden="1">'Budget V Actual - YTD'!$E$11</definedName>
    <definedName name="QB_ROW_308240" localSheetId="1" hidden="1">'P&amp;L'!$E$13</definedName>
    <definedName name="QB_ROW_308240" localSheetId="3" hidden="1">'P&amp;L by fund - YTD'!$E$12</definedName>
    <definedName name="QB_ROW_310240" localSheetId="4" hidden="1">'Budget V Actual - YTD'!$E$18</definedName>
    <definedName name="QB_ROW_310240" localSheetId="1" hidden="1">'P&amp;L'!$E$17</definedName>
    <definedName name="QB_ROW_310240" localSheetId="3" hidden="1">'P&amp;L by fund - YTD'!$E$16</definedName>
    <definedName name="QB_ROW_311240" localSheetId="4" hidden="1">'Budget V Actual - YTD'!$E$20</definedName>
    <definedName name="QB_ROW_311240" localSheetId="1" hidden="1">'P&amp;L'!$E$18</definedName>
    <definedName name="QB_ROW_311240" localSheetId="3" hidden="1">'P&amp;L by fund - YTD'!$E$17</definedName>
    <definedName name="QB_ROW_312040" localSheetId="4" hidden="1">'Budget V Actual - YTD'!$E$88</definedName>
    <definedName name="QB_ROW_312040" localSheetId="1" hidden="1">'P&amp;L'!$E$83</definedName>
    <definedName name="QB_ROW_312040" localSheetId="2" hidden="1">'P&amp;L by fund - QTD'!$E$62</definedName>
    <definedName name="QB_ROW_312040" localSheetId="3" hidden="1">'P&amp;L by fund - YTD'!$E$82</definedName>
    <definedName name="QB_ROW_312340" localSheetId="4" hidden="1">'Budget V Actual - YTD'!$E$90</definedName>
    <definedName name="QB_ROW_312340" localSheetId="1" hidden="1">'P&amp;L'!$E$85</definedName>
    <definedName name="QB_ROW_312340" localSheetId="2" hidden="1">'P&amp;L by fund - QTD'!$E$64</definedName>
    <definedName name="QB_ROW_312340" localSheetId="3" hidden="1">'P&amp;L by fund - YTD'!$E$84</definedName>
    <definedName name="QB_ROW_313250" localSheetId="4" hidden="1">'Budget V Actual - YTD'!$F$89</definedName>
    <definedName name="QB_ROW_313250" localSheetId="1" hidden="1">'P&amp;L'!$F$84</definedName>
    <definedName name="QB_ROW_313250" localSheetId="2" hidden="1">'P&amp;L by fund - QTD'!$F$63</definedName>
    <definedName name="QB_ROW_313250" localSheetId="3" hidden="1">'P&amp;L by fund - YTD'!$F$83</definedName>
    <definedName name="QB_ROW_314250" localSheetId="4" hidden="1">'Budget V Actual - YTD'!$F$106</definedName>
    <definedName name="QB_ROW_314250" localSheetId="1" hidden="1">'P&amp;L'!$F$101</definedName>
    <definedName name="QB_ROW_314250" localSheetId="3" hidden="1">'P&amp;L by fund - YTD'!$F$100</definedName>
    <definedName name="QB_ROW_315250" localSheetId="4" hidden="1">'Budget V Actual - YTD'!$F$108</definedName>
    <definedName name="QB_ROW_315250" localSheetId="1" hidden="1">'P&amp;L'!$F$103</definedName>
    <definedName name="QB_ROW_315250" localSheetId="3" hidden="1">'P&amp;L by fund - YTD'!$F$102</definedName>
    <definedName name="QB_ROW_316040" localSheetId="4" hidden="1">'Budget V Actual - YTD'!$E$120</definedName>
    <definedName name="QB_ROW_316340" localSheetId="4" hidden="1">'Budget V Actual - YTD'!$E$122</definedName>
    <definedName name="QB_ROW_317250" localSheetId="4" hidden="1">'Budget V Actual - YTD'!$F$121</definedName>
    <definedName name="QB_ROW_318250" localSheetId="4" hidden="1">'Budget V Actual - YTD'!$F$115</definedName>
    <definedName name="QB_ROW_318250" localSheetId="1" hidden="1">'P&amp;L'!$F$110</definedName>
    <definedName name="QB_ROW_318250" localSheetId="2" hidden="1">'P&amp;L by fund - QTD'!$F$78</definedName>
    <definedName name="QB_ROW_318250" localSheetId="3" hidden="1">'P&amp;L by fund - YTD'!$F$109</definedName>
    <definedName name="QB_ROW_319250" localSheetId="4" hidden="1">'Budget V Actual - YTD'!$F$112</definedName>
    <definedName name="QB_ROW_319250" localSheetId="1" hidden="1">'P&amp;L'!$F$107</definedName>
    <definedName name="QB_ROW_319250" localSheetId="2" hidden="1">'P&amp;L by fund - QTD'!$F$77</definedName>
    <definedName name="QB_ROW_319250" localSheetId="3" hidden="1">'P&amp;L by fund - YTD'!$F$106</definedName>
    <definedName name="QB_ROW_320250" localSheetId="4" hidden="1">'Budget V Actual - YTD'!$F$114</definedName>
    <definedName name="QB_ROW_320250" localSheetId="1" hidden="1">'P&amp;L'!$F$109</definedName>
    <definedName name="QB_ROW_320250" localSheetId="3" hidden="1">'P&amp;L by fund - YTD'!$F$108</definedName>
    <definedName name="QB_ROW_322250" localSheetId="4" hidden="1">'Budget V Actual - YTD'!$F$226</definedName>
    <definedName name="QB_ROW_322250" localSheetId="1" hidden="1">'P&amp;L'!$F$215</definedName>
    <definedName name="QB_ROW_322250" localSheetId="3" hidden="1">'P&amp;L by fund - YTD'!$F$214</definedName>
    <definedName name="QB_ROW_324250" localSheetId="4" hidden="1">'Budget V Actual - YTD'!$F$246</definedName>
    <definedName name="QB_ROW_324250" localSheetId="1" hidden="1">'P&amp;L'!$F$235</definedName>
    <definedName name="QB_ROW_324250" localSheetId="2" hidden="1">'P&amp;L by fund - QTD'!$F$177</definedName>
    <definedName name="QB_ROW_324250" localSheetId="3" hidden="1">'P&amp;L by fund - YTD'!$F$234</definedName>
    <definedName name="QB_ROW_325250" localSheetId="4" hidden="1">'Budget V Actual - YTD'!$F$247</definedName>
    <definedName name="QB_ROW_325250" localSheetId="1" hidden="1">'P&amp;L'!$F$236</definedName>
    <definedName name="QB_ROW_325250" localSheetId="2" hidden="1">'P&amp;L by fund - QTD'!$F$178</definedName>
    <definedName name="QB_ROW_325250" localSheetId="3" hidden="1">'P&amp;L by fund - YTD'!$F$235</definedName>
    <definedName name="QB_ROW_328250" localSheetId="4" hidden="1">'Budget V Actual - YTD'!$F$249</definedName>
    <definedName name="QB_ROW_328250" localSheetId="1" hidden="1">'P&amp;L'!$F$238</definedName>
    <definedName name="QB_ROW_328250" localSheetId="2" hidden="1">'P&amp;L by fund - QTD'!$F$180</definedName>
    <definedName name="QB_ROW_328250" localSheetId="3" hidden="1">'P&amp;L by fund - YTD'!$F$237</definedName>
    <definedName name="QB_ROW_329250" localSheetId="4" hidden="1">'Budget V Actual - YTD'!$F$250</definedName>
    <definedName name="QB_ROW_329250" localSheetId="1" hidden="1">'P&amp;L'!$F$239</definedName>
    <definedName name="QB_ROW_329250" localSheetId="2" hidden="1">'P&amp;L by fund - QTD'!$F$181</definedName>
    <definedName name="QB_ROW_329250" localSheetId="3" hidden="1">'P&amp;L by fund - YTD'!$F$238</definedName>
    <definedName name="QB_ROW_330040" localSheetId="4" hidden="1">'Budget V Actual - YTD'!$E$199</definedName>
    <definedName name="QB_ROW_330040" localSheetId="1" hidden="1">'P&amp;L'!$E$188</definedName>
    <definedName name="QB_ROW_330040" localSheetId="2" hidden="1">'P&amp;L by fund - QTD'!$E$146</definedName>
    <definedName name="QB_ROW_330040" localSheetId="3" hidden="1">'P&amp;L by fund - YTD'!$E$187</definedName>
    <definedName name="QB_ROW_330340" localSheetId="4" hidden="1">'Budget V Actual - YTD'!$E$205</definedName>
    <definedName name="QB_ROW_330340" localSheetId="1" hidden="1">'P&amp;L'!$E$194</definedName>
    <definedName name="QB_ROW_330340" localSheetId="2" hidden="1">'P&amp;L by fund - QTD'!$E$148</definedName>
    <definedName name="QB_ROW_330340" localSheetId="3" hidden="1">'P&amp;L by fund - YTD'!$E$193</definedName>
    <definedName name="QB_ROW_331250" localSheetId="4" hidden="1">'Budget V Actual - YTD'!$F$200</definedName>
    <definedName name="QB_ROW_331250" localSheetId="1" hidden="1">'P&amp;L'!$F$189</definedName>
    <definedName name="QB_ROW_331250" localSheetId="3" hidden="1">'P&amp;L by fund - YTD'!$F$188</definedName>
    <definedName name="QB_ROW_3321" localSheetId="0" hidden="1">'Balance Sheet'!$C$42</definedName>
    <definedName name="QB_ROW_332250" localSheetId="4" hidden="1">'Budget V Actual - YTD'!$F$201</definedName>
    <definedName name="QB_ROW_332250" localSheetId="1" hidden="1">'P&amp;L'!$F$190</definedName>
    <definedName name="QB_ROW_332250" localSheetId="3" hidden="1">'P&amp;L by fund - YTD'!$F$189</definedName>
    <definedName name="QB_ROW_33240" localSheetId="4" hidden="1">'Budget V Actual - YTD'!$E$19</definedName>
    <definedName name="QB_ROW_333250" localSheetId="4" hidden="1">'Budget V Actual - YTD'!$F$202</definedName>
    <definedName name="QB_ROW_333250" localSheetId="1" hidden="1">'P&amp;L'!$F$191</definedName>
    <definedName name="QB_ROW_333250" localSheetId="3" hidden="1">'P&amp;L by fund - YTD'!$F$190</definedName>
    <definedName name="QB_ROW_335040" localSheetId="4" hidden="1">'Budget V Actual - YTD'!$E$206</definedName>
    <definedName name="QB_ROW_335040" localSheetId="1" hidden="1">'P&amp;L'!$E$195</definedName>
    <definedName name="QB_ROW_335040" localSheetId="2" hidden="1">'P&amp;L by fund - QTD'!$E$149</definedName>
    <definedName name="QB_ROW_335040" localSheetId="3" hidden="1">'P&amp;L by fund - YTD'!$E$194</definedName>
    <definedName name="QB_ROW_335340" localSheetId="4" hidden="1">'Budget V Actual - YTD'!$E$208</definedName>
    <definedName name="QB_ROW_335340" localSheetId="1" hidden="1">'P&amp;L'!$E$197</definedName>
    <definedName name="QB_ROW_335340" localSheetId="2" hidden="1">'P&amp;L by fund - QTD'!$E$151</definedName>
    <definedName name="QB_ROW_335340" localSheetId="3" hidden="1">'P&amp;L by fund - YTD'!$E$196</definedName>
    <definedName name="QB_ROW_336250" localSheetId="4" hidden="1">'Budget V Actual - YTD'!$F$207</definedName>
    <definedName name="QB_ROW_336250" localSheetId="1" hidden="1">'P&amp;L'!$F$196</definedName>
    <definedName name="QB_ROW_336250" localSheetId="2" hidden="1">'P&amp;L by fund - QTD'!$F$150</definedName>
    <definedName name="QB_ROW_336250" localSheetId="3" hidden="1">'P&amp;L by fund - YTD'!$F$195</definedName>
    <definedName name="QB_ROW_337250" localSheetId="4" hidden="1">'Budget V Actual - YTD'!$F$215</definedName>
    <definedName name="QB_ROW_337250" localSheetId="1" hidden="1">'P&amp;L'!$F$204</definedName>
    <definedName name="QB_ROW_337250" localSheetId="2" hidden="1">'P&amp;L by fund - QTD'!$F$156</definedName>
    <definedName name="QB_ROW_337250" localSheetId="3" hidden="1">'P&amp;L by fund - YTD'!$F$203</definedName>
    <definedName name="QB_ROW_344240" localSheetId="0" hidden="1">'Balance Sheet'!$E$27</definedName>
    <definedName name="QB_ROW_345250" localSheetId="4" hidden="1">'Budget V Actual - YTD'!$F$212</definedName>
    <definedName name="QB_ROW_345250" localSheetId="1" hidden="1">'P&amp;L'!$F$201</definedName>
    <definedName name="QB_ROW_345250" localSheetId="2" hidden="1">'P&amp;L by fund - QTD'!$F$154</definedName>
    <definedName name="QB_ROW_345250" localSheetId="3" hidden="1">'P&amp;L by fund - YTD'!$F$200</definedName>
    <definedName name="QB_ROW_348250" localSheetId="4" hidden="1">'Budget V Actual - YTD'!$F$210</definedName>
    <definedName name="QB_ROW_348250" localSheetId="1" hidden="1">'P&amp;L'!$F$199</definedName>
    <definedName name="QB_ROW_348250" localSheetId="2" hidden="1">'P&amp;L by fund - QTD'!$F$153</definedName>
    <definedName name="QB_ROW_348250" localSheetId="3" hidden="1">'P&amp;L by fund - YTD'!$F$198</definedName>
    <definedName name="QB_ROW_351240" localSheetId="0" hidden="1">'Balance Sheet'!$E$24</definedName>
    <definedName name="QB_ROW_35240" localSheetId="4" hidden="1">'Budget V Actual - YTD'!$E$23</definedName>
    <definedName name="QB_ROW_35240" localSheetId="1" hidden="1">'P&amp;L'!$E$20</definedName>
    <definedName name="QB_ROW_35240" localSheetId="2" hidden="1">'P&amp;L by fund - QTD'!$E$14</definedName>
    <definedName name="QB_ROW_35240" localSheetId="3" hidden="1">'P&amp;L by fund - YTD'!$E$19</definedName>
    <definedName name="QB_ROW_354250" localSheetId="4" hidden="1">'Budget V Actual - YTD'!$F$45</definedName>
    <definedName name="QB_ROW_354250" localSheetId="1" hidden="1">'P&amp;L'!$F$40</definedName>
    <definedName name="QB_ROW_354250" localSheetId="2" hidden="1">'P&amp;L by fund - QTD'!$F$27</definedName>
    <definedName name="QB_ROW_354250" localSheetId="3" hidden="1">'P&amp;L by fund - YTD'!$F$39</definedName>
    <definedName name="QB_ROW_355250" localSheetId="4" hidden="1">'Budget V Actual - YTD'!$F$49</definedName>
    <definedName name="QB_ROW_355250" localSheetId="1" hidden="1">'P&amp;L'!$F$44</definedName>
    <definedName name="QB_ROW_355250" localSheetId="2" hidden="1">'P&amp;L by fund - QTD'!$F$31</definedName>
    <definedName name="QB_ROW_355250" localSheetId="3" hidden="1">'P&amp;L by fund - YTD'!$F$43</definedName>
    <definedName name="QB_ROW_358040" localSheetId="4" hidden="1">'Budget V Actual - YTD'!$E$164</definedName>
    <definedName name="QB_ROW_358040" localSheetId="1" hidden="1">'P&amp;L'!$E$153</definedName>
    <definedName name="QB_ROW_358040" localSheetId="2" hidden="1">'P&amp;L by fund - QTD'!$E$115</definedName>
    <definedName name="QB_ROW_358040" localSheetId="3" hidden="1">'P&amp;L by fund - YTD'!$E$152</definedName>
    <definedName name="QB_ROW_358340" localSheetId="4" hidden="1">'Budget V Actual - YTD'!$E$166</definedName>
    <definedName name="QB_ROW_358340" localSheetId="1" hidden="1">'P&amp;L'!$E$155</definedName>
    <definedName name="QB_ROW_358340" localSheetId="2" hidden="1">'P&amp;L by fund - QTD'!$E$117</definedName>
    <definedName name="QB_ROW_358340" localSheetId="3" hidden="1">'P&amp;L by fund - YTD'!$E$154</definedName>
    <definedName name="QB_ROW_359250" localSheetId="4" hidden="1">'Budget V Actual - YTD'!$F$165</definedName>
    <definedName name="QB_ROW_359250" localSheetId="1" hidden="1">'P&amp;L'!$F$154</definedName>
    <definedName name="QB_ROW_359250" localSheetId="2" hidden="1">'P&amp;L by fund - QTD'!$F$116</definedName>
    <definedName name="QB_ROW_359250" localSheetId="3" hidden="1">'P&amp;L by fund - YTD'!$F$153</definedName>
    <definedName name="QB_ROW_362250" localSheetId="4" hidden="1">'Budget V Actual - YTD'!$F$222</definedName>
    <definedName name="QB_ROW_362250" localSheetId="1" hidden="1">'P&amp;L'!$F$211</definedName>
    <definedName name="QB_ROW_362250" localSheetId="2" hidden="1">'P&amp;L by fund - QTD'!$F$162</definedName>
    <definedName name="QB_ROW_362250" localSheetId="3" hidden="1">'P&amp;L by fund - YTD'!$F$210</definedName>
    <definedName name="QB_ROW_36240" localSheetId="4" hidden="1">'Budget V Actual - YTD'!$E$22</definedName>
    <definedName name="QB_ROW_36240" localSheetId="1" hidden="1">'P&amp;L'!$E$19</definedName>
    <definedName name="QB_ROW_36240" localSheetId="3" hidden="1">'P&amp;L by fund - YTD'!$E$18</definedName>
    <definedName name="QB_ROW_363250" localSheetId="4" hidden="1">'Budget V Actual - YTD'!$F$46</definedName>
    <definedName name="QB_ROW_363250" localSheetId="1" hidden="1">'P&amp;L'!$F$41</definedName>
    <definedName name="QB_ROW_363250" localSheetId="2" hidden="1">'P&amp;L by fund - QTD'!$F$28</definedName>
    <definedName name="QB_ROW_363250" localSheetId="3" hidden="1">'P&amp;L by fund - YTD'!$F$40</definedName>
    <definedName name="QB_ROW_365240" localSheetId="4" hidden="1">'Budget V Actual - YTD'!$E$13</definedName>
    <definedName name="QB_ROW_366250" localSheetId="4" hidden="1">'Budget V Actual - YTD'!$F$44</definedName>
    <definedName name="QB_ROW_366250" localSheetId="1" hidden="1">'P&amp;L'!$F$39</definedName>
    <definedName name="QB_ROW_366250" localSheetId="3" hidden="1">'P&amp;L by fund - YTD'!$F$38</definedName>
    <definedName name="QB_ROW_368250" localSheetId="4" hidden="1">'Budget V Actual - YTD'!$F$146</definedName>
    <definedName name="QB_ROW_369240" localSheetId="4" hidden="1">'Budget V Actual - YTD'!$E$27</definedName>
    <definedName name="QB_ROW_369240" localSheetId="1" hidden="1">'P&amp;L'!$E$24</definedName>
    <definedName name="QB_ROW_369240" localSheetId="2" hidden="1">'P&amp;L by fund - QTD'!$E$18</definedName>
    <definedName name="QB_ROW_369240" localSheetId="3" hidden="1">'P&amp;L by fund - YTD'!$E$23</definedName>
    <definedName name="QB_ROW_370250" localSheetId="4" hidden="1">'Budget V Actual - YTD'!$F$204</definedName>
    <definedName name="QB_ROW_370250" localSheetId="1" hidden="1">'P&amp;L'!$F$193</definedName>
    <definedName name="QB_ROW_370250" localSheetId="2" hidden="1">'P&amp;L by fund - QTD'!$F$147</definedName>
    <definedName name="QB_ROW_370250" localSheetId="3" hidden="1">'P&amp;L by fund - YTD'!$F$192</definedName>
    <definedName name="QB_ROW_371030" localSheetId="0" hidden="1">'Balance Sheet'!$D$33</definedName>
    <definedName name="QB_ROW_371330" localSheetId="0" hidden="1">'Balance Sheet'!$D$35</definedName>
    <definedName name="QB_ROW_372240" localSheetId="0" hidden="1">'Balance Sheet'!$E$34</definedName>
    <definedName name="QB_ROW_37240" localSheetId="4" hidden="1">'Budget V Actual - YTD'!$E$26</definedName>
    <definedName name="QB_ROW_37240" localSheetId="1" hidden="1">'P&amp;L'!$E$23</definedName>
    <definedName name="QB_ROW_37240" localSheetId="2" hidden="1">'P&amp;L by fund - QTD'!$E$17</definedName>
    <definedName name="QB_ROW_37240" localSheetId="3" hidden="1">'P&amp;L by fund - YTD'!$E$22</definedName>
    <definedName name="QB_ROW_373230" localSheetId="0" hidden="1">'Balance Sheet'!$D$50</definedName>
    <definedName name="QB_ROW_374250" localSheetId="4" hidden="1">'Budget V Actual - YTD'!$F$217</definedName>
    <definedName name="QB_ROW_374250" localSheetId="1" hidden="1">'P&amp;L'!$F$206</definedName>
    <definedName name="QB_ROW_374250" localSheetId="3" hidden="1">'P&amp;L by fund - YTD'!$F$205</definedName>
    <definedName name="QB_ROW_380250" localSheetId="4" hidden="1">'Budget V Actual - YTD'!$F$71</definedName>
    <definedName name="QB_ROW_380250" localSheetId="1" hidden="1">'P&amp;L'!$F$66</definedName>
    <definedName name="QB_ROW_380250" localSheetId="2" hidden="1">'P&amp;L by fund - QTD'!$F$50</definedName>
    <definedName name="QB_ROW_380250" localSheetId="3" hidden="1">'P&amp;L by fund - YTD'!$F$65</definedName>
    <definedName name="QB_ROW_381240" localSheetId="4" hidden="1">'Budget V Actual - YTD'!$E$16</definedName>
    <definedName name="QB_ROW_381240" localSheetId="1" hidden="1">'P&amp;L'!$E$16</definedName>
    <definedName name="QB_ROW_381240" localSheetId="2" hidden="1">'P&amp;L by fund - QTD'!$E$13</definedName>
    <definedName name="QB_ROW_381240" localSheetId="3" hidden="1">'P&amp;L by fund - YTD'!$E$15</definedName>
    <definedName name="QB_ROW_38240" localSheetId="4" hidden="1">'Budget V Actual - YTD'!$E$28</definedName>
    <definedName name="QB_ROW_38240" localSheetId="1" hidden="1">'P&amp;L'!$E$25</definedName>
    <definedName name="QB_ROW_38240" localSheetId="2" hidden="1">'P&amp;L by fund - QTD'!$E$19</definedName>
    <definedName name="QB_ROW_38240" localSheetId="3" hidden="1">'P&amp;L by fund - YTD'!$E$24</definedName>
    <definedName name="QB_ROW_383250" localSheetId="4" hidden="1">'Budget V Actual - YTD'!$F$211</definedName>
    <definedName name="QB_ROW_383250" localSheetId="1" hidden="1">'P&amp;L'!$F$200</definedName>
    <definedName name="QB_ROW_383250" localSheetId="3" hidden="1">'P&amp;L by fund - YTD'!$F$199</definedName>
    <definedName name="QB_ROW_386250" localSheetId="4" hidden="1">'Budget V Actual - YTD'!$F$223</definedName>
    <definedName name="QB_ROW_386250" localSheetId="1" hidden="1">'P&amp;L'!$F$212</definedName>
    <definedName name="QB_ROW_386250" localSheetId="3" hidden="1">'P&amp;L by fund - YTD'!$F$211</definedName>
    <definedName name="QB_ROW_387250" localSheetId="4" hidden="1">'Budget V Actual - YTD'!$F$147</definedName>
    <definedName name="QB_ROW_387250" localSheetId="1" hidden="1">'P&amp;L'!$F$134</definedName>
    <definedName name="QB_ROW_387250" localSheetId="3" hidden="1">'P&amp;L by fund - YTD'!$F$133</definedName>
    <definedName name="QB_ROW_388250" localSheetId="4" hidden="1">'Budget V Actual - YTD'!$F$213</definedName>
    <definedName name="QB_ROW_388250" localSheetId="1" hidden="1">'P&amp;L'!$F$202</definedName>
    <definedName name="QB_ROW_388250" localSheetId="2" hidden="1">'P&amp;L by fund - QTD'!$F$155</definedName>
    <definedName name="QB_ROW_388250" localSheetId="3" hidden="1">'P&amp;L by fund - YTD'!$F$201</definedName>
    <definedName name="QB_ROW_389250" localSheetId="4" hidden="1">'Budget V Actual - YTD'!$F$214</definedName>
    <definedName name="QB_ROW_389250" localSheetId="1" hidden="1">'P&amp;L'!$F$203</definedName>
    <definedName name="QB_ROW_389250" localSheetId="3" hidden="1">'P&amp;L by fund - YTD'!$F$202</definedName>
    <definedName name="QB_ROW_39240" localSheetId="4" hidden="1">'Budget V Actual - YTD'!$E$25</definedName>
    <definedName name="QB_ROW_39240" localSheetId="1" hidden="1">'P&amp;L'!$E$22</definedName>
    <definedName name="QB_ROW_39240" localSheetId="2" hidden="1">'P&amp;L by fund - QTD'!$E$16</definedName>
    <definedName name="QB_ROW_39240" localSheetId="3" hidden="1">'P&amp;L by fund - YTD'!$E$21</definedName>
    <definedName name="QB_ROW_394250" localSheetId="4" hidden="1">'Budget V Actual - YTD'!$F$218</definedName>
    <definedName name="QB_ROW_394250" localSheetId="1" hidden="1">'P&amp;L'!$F$207</definedName>
    <definedName name="QB_ROW_394250" localSheetId="2" hidden="1">'P&amp;L by fund - QTD'!$F$158</definedName>
    <definedName name="QB_ROW_394250" localSheetId="3" hidden="1">'P&amp;L by fund - YTD'!$F$206</definedName>
    <definedName name="QB_ROW_395250" localSheetId="4" hidden="1">'Budget V Actual - YTD'!$F$203</definedName>
    <definedName name="QB_ROW_395250" localSheetId="1" hidden="1">'P&amp;L'!$F$192</definedName>
    <definedName name="QB_ROW_395250" localSheetId="3" hidden="1">'P&amp;L by fund - YTD'!$F$191</definedName>
    <definedName name="QB_ROW_396230" localSheetId="0" hidden="1">'Balance Sheet'!$D$44</definedName>
    <definedName name="QB_ROW_397040" localSheetId="4" hidden="1">'Budget V Actual - YTD'!$E$74</definedName>
    <definedName name="QB_ROW_397040" localSheetId="1" hidden="1">'P&amp;L'!$E$69</definedName>
    <definedName name="QB_ROW_397040" localSheetId="3" hidden="1">'P&amp;L by fund - YTD'!$E$68</definedName>
    <definedName name="QB_ROW_397340" localSheetId="4" hidden="1">'Budget V Actual - YTD'!$E$76</definedName>
    <definedName name="QB_ROW_397340" localSheetId="1" hidden="1">'P&amp;L'!$E$71</definedName>
    <definedName name="QB_ROW_397340" localSheetId="3" hidden="1">'P&amp;L by fund - YTD'!$E$70</definedName>
    <definedName name="QB_ROW_400040" localSheetId="4" hidden="1">'Budget V Actual - YTD'!$E$241</definedName>
    <definedName name="QB_ROW_400040" localSheetId="1" hidden="1">'P&amp;L'!$E$230</definedName>
    <definedName name="QB_ROW_400040" localSheetId="3" hidden="1">'P&amp;L by fund - YTD'!$E$229</definedName>
    <definedName name="QB_ROW_400340" localSheetId="4" hidden="1">'Budget V Actual - YTD'!$E$244</definedName>
    <definedName name="QB_ROW_400340" localSheetId="1" hidden="1">'P&amp;L'!$E$233</definedName>
    <definedName name="QB_ROW_400340" localSheetId="3" hidden="1">'P&amp;L by fund - YTD'!$E$232</definedName>
    <definedName name="QB_ROW_4021" localSheetId="0" hidden="1">'Balance Sheet'!$C$43</definedName>
    <definedName name="QB_ROW_40240" localSheetId="4" hidden="1">'Budget V Actual - YTD'!$E$8</definedName>
    <definedName name="QB_ROW_40240" localSheetId="1" hidden="1">'P&amp;L'!$E$8</definedName>
    <definedName name="QB_ROW_40240" localSheetId="2" hidden="1">'P&amp;L by fund - QTD'!$E$7</definedName>
    <definedName name="QB_ROW_40240" localSheetId="3" hidden="1">'P&amp;L by fund - YTD'!$E$7</definedName>
    <definedName name="QB_ROW_404240" localSheetId="0" hidden="1">'Balance Sheet'!$E$23</definedName>
    <definedName name="QB_ROW_405240" localSheetId="4" hidden="1">'Budget V Actual - YTD'!$E$14</definedName>
    <definedName name="QB_ROW_405240" localSheetId="1" hidden="1">'P&amp;L'!$E$15</definedName>
    <definedName name="QB_ROW_405240" localSheetId="2" hidden="1">'P&amp;L by fund - QTD'!$E$12</definedName>
    <definedName name="QB_ROW_405240" localSheetId="3" hidden="1">'P&amp;L by fund - YTD'!$E$14</definedName>
    <definedName name="QB_ROW_407240" localSheetId="4" hidden="1">'Budget V Actual - YTD'!$E$15</definedName>
    <definedName name="QB_ROW_409040" localSheetId="4" hidden="1">'Budget V Actual - YTD'!$E$30</definedName>
    <definedName name="QB_ROW_409040" localSheetId="1" hidden="1">'P&amp;L'!$E$26</definedName>
    <definedName name="QB_ROW_409040" localSheetId="3" hidden="1">'P&amp;L by fund - YTD'!$E$25</definedName>
    <definedName name="QB_ROW_409340" localSheetId="4" hidden="1">'Budget V Actual - YTD'!$E$32</definedName>
    <definedName name="QB_ROW_409340" localSheetId="1" hidden="1">'P&amp;L'!$E$28</definedName>
    <definedName name="QB_ROW_409340" localSheetId="3" hidden="1">'P&amp;L by fund - YTD'!$E$27</definedName>
    <definedName name="QB_ROW_412240" localSheetId="0" hidden="1">'Balance Sheet'!$E$11</definedName>
    <definedName name="QB_ROW_41240" localSheetId="4" hidden="1">'Budget V Actual - YTD'!$E$7</definedName>
    <definedName name="QB_ROW_41240" localSheetId="1" hidden="1">'P&amp;L'!$E$7</definedName>
    <definedName name="QB_ROW_41240" localSheetId="2" hidden="1">'P&amp;L by fund - QTD'!$E$6</definedName>
    <definedName name="QB_ROW_41240" localSheetId="3" hidden="1">'P&amp;L by fund - YTD'!$E$6</definedName>
    <definedName name="QB_ROW_418250" localSheetId="4" hidden="1">'Budget V Actual - YTD'!$F$75</definedName>
    <definedName name="QB_ROW_418250" localSheetId="1" hidden="1">'P&amp;L'!$F$70</definedName>
    <definedName name="QB_ROW_418250" localSheetId="3" hidden="1">'P&amp;L by fund - YTD'!$F$69</definedName>
    <definedName name="QB_ROW_422250" localSheetId="4" hidden="1">'Budget V Actual - YTD'!$F$228</definedName>
    <definedName name="QB_ROW_422250" localSheetId="1" hidden="1">'P&amp;L'!$F$217</definedName>
    <definedName name="QB_ROW_422250" localSheetId="3" hidden="1">'P&amp;L by fund - YTD'!$F$216</definedName>
    <definedName name="QB_ROW_42240" localSheetId="1" hidden="1">'P&amp;L'!$E$9</definedName>
    <definedName name="QB_ROW_42240" localSheetId="2" hidden="1">'P&amp;L by fund - QTD'!$E$8</definedName>
    <definedName name="QB_ROW_42240" localSheetId="3" hidden="1">'P&amp;L by fund - YTD'!$E$8</definedName>
    <definedName name="QB_ROW_425250" localSheetId="4" hidden="1">'Budget V Actual - YTD'!$F$242</definedName>
    <definedName name="QB_ROW_425250" localSheetId="1" hidden="1">'P&amp;L'!$F$231</definedName>
    <definedName name="QB_ROW_425250" localSheetId="3" hidden="1">'P&amp;L by fund - YTD'!$F$230</definedName>
    <definedName name="QB_ROW_428240" localSheetId="0" hidden="1">'Balance Sheet'!$E$12</definedName>
    <definedName name="QB_ROW_430240" localSheetId="4" hidden="1">'Budget V Actual - YTD'!$E$17</definedName>
    <definedName name="QB_ROW_431250" localSheetId="4" hidden="1">'Budget V Actual - YTD'!$F$56</definedName>
    <definedName name="QB_ROW_431250" localSheetId="1" hidden="1">'P&amp;L'!$F$51</definedName>
    <definedName name="QB_ROW_431250" localSheetId="2" hidden="1">'P&amp;L by fund - QTD'!$F$38</definedName>
    <definedName name="QB_ROW_431250" localSheetId="3" hidden="1">'P&amp;L by fund - YTD'!$F$50</definedName>
    <definedName name="QB_ROW_4321" localSheetId="0" hidden="1">'Balance Sheet'!$C$46</definedName>
    <definedName name="QB_ROW_43240" localSheetId="4" hidden="1">'Budget V Actual - YTD'!$E$6</definedName>
    <definedName name="QB_ROW_43240" localSheetId="1" hidden="1">'P&amp;L'!$E$6</definedName>
    <definedName name="QB_ROW_43240" localSheetId="2" hidden="1">'P&amp;L by fund - QTD'!$E$5</definedName>
    <definedName name="QB_ROW_43240" localSheetId="3" hidden="1">'P&amp;L by fund - YTD'!$E$5</definedName>
    <definedName name="QB_ROW_433250" localSheetId="4" hidden="1">'Budget V Actual - YTD'!$F$174</definedName>
    <definedName name="QB_ROW_433250" localSheetId="1" hidden="1">'P&amp;L'!$F$163</definedName>
    <definedName name="QB_ROW_433250" localSheetId="2" hidden="1">'P&amp;L by fund - QTD'!$F$124</definedName>
    <definedName name="QB_ROW_433250" localSheetId="3" hidden="1">'P&amp;L by fund - YTD'!$F$162</definedName>
    <definedName name="QB_ROW_434250" localSheetId="4" hidden="1">'Budget V Actual - YTD'!$F$175</definedName>
    <definedName name="QB_ROW_434250" localSheetId="1" hidden="1">'P&amp;L'!$F$164</definedName>
    <definedName name="QB_ROW_434250" localSheetId="2" hidden="1">'P&amp;L by fund - QTD'!$F$125</definedName>
    <definedName name="QB_ROW_434250" localSheetId="3" hidden="1">'P&amp;L by fund - YTD'!$F$163</definedName>
    <definedName name="QB_ROW_439240" localSheetId="0" hidden="1">'Balance Sheet'!$E$13</definedName>
    <definedName name="QB_ROW_442250" localSheetId="4" hidden="1">'Budget V Actual - YTD'!$F$243</definedName>
    <definedName name="QB_ROW_442250" localSheetId="1" hidden="1">'P&amp;L'!$F$232</definedName>
    <definedName name="QB_ROW_442250" localSheetId="3" hidden="1">'P&amp;L by fund - YTD'!$F$231</definedName>
    <definedName name="QB_ROW_44240" localSheetId="4" hidden="1">'Budget V Actual - YTD'!$E$9</definedName>
    <definedName name="QB_ROW_44240" localSheetId="1" hidden="1">'P&amp;L'!$E$10</definedName>
    <definedName name="QB_ROW_44240" localSheetId="2" hidden="1">'P&amp;L by fund - QTD'!$E$9</definedName>
    <definedName name="QB_ROW_44240" localSheetId="3" hidden="1">'P&amp;L by fund - YTD'!$E$9</definedName>
    <definedName name="QB_ROW_448240" localSheetId="4" hidden="1">'Budget V Actual - YTD'!$E$29</definedName>
    <definedName name="QB_ROW_450250" localSheetId="4" hidden="1">'Budget V Actual - YTD'!$F$83</definedName>
    <definedName name="QB_ROW_450250" localSheetId="1" hidden="1">'P&amp;L'!$F$78</definedName>
    <definedName name="QB_ROW_450250" localSheetId="2" hidden="1">'P&amp;L by fund - QTD'!$F$58</definedName>
    <definedName name="QB_ROW_450250" localSheetId="3" hidden="1">'P&amp;L by fund - YTD'!$F$77</definedName>
    <definedName name="QB_ROW_451250" localSheetId="4" hidden="1">'Budget V Actual - YTD'!$F$80</definedName>
    <definedName name="QB_ROW_451250" localSheetId="1" hidden="1">'P&amp;L'!$F$75</definedName>
    <definedName name="QB_ROW_451250" localSheetId="3" hidden="1">'P&amp;L by fund - YTD'!$F$74</definedName>
    <definedName name="QB_ROW_457240" localSheetId="0" hidden="1">'Balance Sheet'!$E$14</definedName>
    <definedName name="QB_ROW_458240" localSheetId="0" hidden="1">'Balance Sheet'!$E$15</definedName>
    <definedName name="QB_ROW_460040" localSheetId="4" hidden="1">'Budget V Actual - YTD'!$E$91</definedName>
    <definedName name="QB_ROW_460040" localSheetId="1" hidden="1">'P&amp;L'!$E$86</definedName>
    <definedName name="QB_ROW_460040" localSheetId="2" hidden="1">'P&amp;L by fund - QTD'!$E$65</definedName>
    <definedName name="QB_ROW_460040" localSheetId="3" hidden="1">'P&amp;L by fund - YTD'!$E$85</definedName>
    <definedName name="QB_ROW_460340" localSheetId="4" hidden="1">'Budget V Actual - YTD'!$E$99</definedName>
    <definedName name="QB_ROW_460340" localSheetId="1" hidden="1">'P&amp;L'!$E$94</definedName>
    <definedName name="QB_ROW_460340" localSheetId="2" hidden="1">'P&amp;L by fund - QTD'!$E$71</definedName>
    <definedName name="QB_ROW_460340" localSheetId="3" hidden="1">'P&amp;L by fund - YTD'!$E$93</definedName>
    <definedName name="QB_ROW_461250" localSheetId="4" hidden="1">'Budget V Actual - YTD'!$F$92</definedName>
    <definedName name="QB_ROW_461250" localSheetId="1" hidden="1">'P&amp;L'!$F$87</definedName>
    <definedName name="QB_ROW_461250" localSheetId="2" hidden="1">'P&amp;L by fund - QTD'!$F$66</definedName>
    <definedName name="QB_ROW_461250" localSheetId="3" hidden="1">'P&amp;L by fund - YTD'!$F$86</definedName>
    <definedName name="QB_ROW_462250" localSheetId="4" hidden="1">'Budget V Actual - YTD'!$F$95</definedName>
    <definedName name="QB_ROW_462250" localSheetId="1" hidden="1">'P&amp;L'!$F$90</definedName>
    <definedName name="QB_ROW_462250" localSheetId="2" hidden="1">'P&amp;L by fund - QTD'!$F$68</definedName>
    <definedName name="QB_ROW_462250" localSheetId="3" hidden="1">'P&amp;L by fund - YTD'!$F$89</definedName>
    <definedName name="QB_ROW_465240" localSheetId="0" hidden="1">'Balance Sheet'!$E$26</definedName>
    <definedName name="QB_ROW_466250" localSheetId="4" hidden="1">'Budget V Actual - YTD'!$F$31</definedName>
    <definedName name="QB_ROW_466250" localSheetId="1" hidden="1">'P&amp;L'!$F$27</definedName>
    <definedName name="QB_ROW_466250" localSheetId="3" hidden="1">'P&amp;L by fund - YTD'!$F$26</definedName>
    <definedName name="QB_ROW_467250" localSheetId="4" hidden="1">'Budget V Actual - YTD'!$F$98</definedName>
    <definedName name="QB_ROW_467250" localSheetId="1" hidden="1">'P&amp;L'!$F$92</definedName>
    <definedName name="QB_ROW_467250" localSheetId="2" hidden="1">'P&amp;L by fund - QTD'!$F$70</definedName>
    <definedName name="QB_ROW_467250" localSheetId="3" hidden="1">'P&amp;L by fund - YTD'!$F$91</definedName>
    <definedName name="QB_ROW_468240" localSheetId="0" hidden="1">'Balance Sheet'!$E$67</definedName>
    <definedName name="QB_ROW_470240" localSheetId="4" hidden="1">'Budget V Actual - YTD'!$E$35</definedName>
    <definedName name="QB_ROW_470240" localSheetId="1" hidden="1">'P&amp;L'!$E$31</definedName>
    <definedName name="QB_ROW_470240" localSheetId="3" hidden="1">'P&amp;L by fund - YTD'!$E$30</definedName>
    <definedName name="QB_ROW_471240" localSheetId="4" hidden="1">'Budget V Actual - YTD'!$E$34</definedName>
    <definedName name="QB_ROW_471240" localSheetId="1" hidden="1">'P&amp;L'!$E$30</definedName>
    <definedName name="QB_ROW_471240" localSheetId="2" hidden="1">'P&amp;L by fund - QTD'!$E$20</definedName>
    <definedName name="QB_ROW_471240" localSheetId="3" hidden="1">'P&amp;L by fund - YTD'!$E$29</definedName>
    <definedName name="QB_ROW_472240" localSheetId="4" hidden="1">'Budget V Actual - YTD'!$E$40</definedName>
    <definedName name="QB_ROW_472240" localSheetId="1" hidden="1">'P&amp;L'!$E$36</definedName>
    <definedName name="QB_ROW_472240" localSheetId="2" hidden="1">'P&amp;L by fund - QTD'!$E$24</definedName>
    <definedName name="QB_ROW_472240" localSheetId="3" hidden="1">'P&amp;L by fund - YTD'!$E$35</definedName>
    <definedName name="QB_ROW_478240" localSheetId="0" hidden="1">'Balance Sheet'!$E$16</definedName>
    <definedName name="QB_ROW_480240" localSheetId="0" hidden="1">'Balance Sheet'!$E$17</definedName>
    <definedName name="QB_ROW_488250" localSheetId="4" hidden="1">'Budget V Actual - YTD'!$F$54</definedName>
    <definedName name="QB_ROW_488250" localSheetId="1" hidden="1">'P&amp;L'!$F$49</definedName>
    <definedName name="QB_ROW_488250" localSheetId="2" hidden="1">'P&amp;L by fund - QTD'!$F$36</definedName>
    <definedName name="QB_ROW_488250" localSheetId="3" hidden="1">'P&amp;L by fund - YTD'!$F$48</definedName>
    <definedName name="QB_ROW_489250" localSheetId="4" hidden="1">'Budget V Actual - YTD'!$F$57</definedName>
    <definedName name="QB_ROW_489250" localSheetId="1" hidden="1">'P&amp;L'!$F$52</definedName>
    <definedName name="QB_ROW_489250" localSheetId="3" hidden="1">'P&amp;L by fund - YTD'!$F$51</definedName>
    <definedName name="QB_ROW_490250" localSheetId="4" hidden="1">'Budget V Actual - YTD'!$F$58</definedName>
    <definedName name="QB_ROW_490250" localSheetId="1" hidden="1">'P&amp;L'!$F$53</definedName>
    <definedName name="QB_ROW_490250" localSheetId="2" hidden="1">'P&amp;L by fund - QTD'!$F$39</definedName>
    <definedName name="QB_ROW_490250" localSheetId="3" hidden="1">'P&amp;L by fund - YTD'!$F$52</definedName>
    <definedName name="QB_ROW_491250" localSheetId="4" hidden="1">'Budget V Actual - YTD'!$F$59</definedName>
    <definedName name="QB_ROW_491250" localSheetId="1" hidden="1">'P&amp;L'!$F$54</definedName>
    <definedName name="QB_ROW_491250" localSheetId="2" hidden="1">'P&amp;L by fund - QTD'!$F$40</definedName>
    <definedName name="QB_ROW_491250" localSheetId="3" hidden="1">'P&amp;L by fund - YTD'!$F$53</definedName>
    <definedName name="QB_ROW_492250" localSheetId="4" hidden="1">'Budget V Actual - YTD'!$F$150</definedName>
    <definedName name="QB_ROW_493250" localSheetId="4" hidden="1">'Budget V Actual - YTD'!$F$97</definedName>
    <definedName name="QB_ROW_494250" localSheetId="1" hidden="1">'P&amp;L'!$F$93</definedName>
    <definedName name="QB_ROW_494250" localSheetId="3" hidden="1">'P&amp;L by fund - YTD'!$F$92</definedName>
    <definedName name="QB_ROW_499240" localSheetId="0" hidden="1">'Balance Sheet'!$E$18</definedName>
    <definedName name="QB_ROW_5011" localSheetId="0" hidden="1">'Balance Sheet'!$B$48</definedName>
    <definedName name="QB_ROW_503240" localSheetId="0" hidden="1">'Balance Sheet'!$E$19</definedName>
    <definedName name="QB_ROW_504240" localSheetId="4" hidden="1">'Budget V Actual - YTD'!$E$21</definedName>
    <definedName name="QB_ROW_506030" localSheetId="0" hidden="1">'Balance Sheet'!$D$36</definedName>
    <definedName name="QB_ROW_506330" localSheetId="0" hidden="1">'Balance Sheet'!$D$38</definedName>
    <definedName name="QB_ROW_507240" localSheetId="0" hidden="1">'Balance Sheet'!$E$37</definedName>
    <definedName name="QB_ROW_508250" localSheetId="4" hidden="1">'Budget V Actual - YTD'!$F$79</definedName>
    <definedName name="QB_ROW_508250" localSheetId="1" hidden="1">'P&amp;L'!$F$74</definedName>
    <definedName name="QB_ROW_508250" localSheetId="2" hidden="1">'P&amp;L by fund - QTD'!$F$55</definedName>
    <definedName name="QB_ROW_508250" localSheetId="3" hidden="1">'P&amp;L by fund - YTD'!$F$73</definedName>
    <definedName name="QB_ROW_509250" localSheetId="4" hidden="1">'Budget V Actual - YTD'!$F$81</definedName>
    <definedName name="QB_ROW_509250" localSheetId="1" hidden="1">'P&amp;L'!$F$76</definedName>
    <definedName name="QB_ROW_509250" localSheetId="2" hidden="1">'P&amp;L by fund - QTD'!$F$56</definedName>
    <definedName name="QB_ROW_509250" localSheetId="3" hidden="1">'P&amp;L by fund - YTD'!$F$75</definedName>
    <definedName name="QB_ROW_512040" localSheetId="4" hidden="1">'Budget V Actual - YTD'!$E$236</definedName>
    <definedName name="QB_ROW_512040" localSheetId="1" hidden="1">'P&amp;L'!$E$225</definedName>
    <definedName name="QB_ROW_512040" localSheetId="2" hidden="1">'P&amp;L by fund - QTD'!$E$173</definedName>
    <definedName name="QB_ROW_512040" localSheetId="3" hidden="1">'P&amp;L by fund - YTD'!$E$224</definedName>
    <definedName name="QB_ROW_512340" localSheetId="4" hidden="1">'Budget V Actual - YTD'!$E$240</definedName>
    <definedName name="QB_ROW_512340" localSheetId="1" hidden="1">'P&amp;L'!$E$229</definedName>
    <definedName name="QB_ROW_512340" localSheetId="2" hidden="1">'P&amp;L by fund - QTD'!$E$175</definedName>
    <definedName name="QB_ROW_512340" localSheetId="3" hidden="1">'P&amp;L by fund - YTD'!$E$228</definedName>
    <definedName name="QB_ROW_513250" localSheetId="4" hidden="1">'Budget V Actual - YTD'!$F$239</definedName>
    <definedName name="QB_ROW_513250" localSheetId="1" hidden="1">'P&amp;L'!$F$228</definedName>
    <definedName name="QB_ROW_513250" localSheetId="2" hidden="1">'P&amp;L by fund - QTD'!$F$174</definedName>
    <definedName name="QB_ROW_513250" localSheetId="3" hidden="1">'P&amp;L by fund - YTD'!$F$227</definedName>
    <definedName name="QB_ROW_514250" localSheetId="4" hidden="1">'Budget V Actual - YTD'!$F$238</definedName>
    <definedName name="QB_ROW_514250" localSheetId="1" hidden="1">'P&amp;L'!$F$227</definedName>
    <definedName name="QB_ROW_514250" localSheetId="3" hidden="1">'P&amp;L by fund - YTD'!$F$226</definedName>
    <definedName name="QB_ROW_515240" localSheetId="4" hidden="1">'Budget V Actual - YTD'!$E$10</definedName>
    <definedName name="QB_ROW_515240" localSheetId="1" hidden="1">'P&amp;L'!$E$11</definedName>
    <definedName name="QB_ROW_515240" localSheetId="2" hidden="1">'P&amp;L by fund - QTD'!$E$10</definedName>
    <definedName name="QB_ROW_515240" localSheetId="3" hidden="1">'P&amp;L by fund - YTD'!$E$10</definedName>
    <definedName name="QB_ROW_516240" localSheetId="0" hidden="1">'Balance Sheet'!$E$20</definedName>
    <definedName name="QB_ROW_518250" localSheetId="4" hidden="1">'Budget V Actual - YTD'!$F$93</definedName>
    <definedName name="QB_ROW_518250" localSheetId="1" hidden="1">'P&amp;L'!$F$88</definedName>
    <definedName name="QB_ROW_518250" localSheetId="2" hidden="1">'P&amp;L by fund - QTD'!$F$67</definedName>
    <definedName name="QB_ROW_518250" localSheetId="3" hidden="1">'P&amp;L by fund - YTD'!$F$87</definedName>
    <definedName name="QB_ROW_519250" localSheetId="4" hidden="1">'Budget V Actual - YTD'!$F$96</definedName>
    <definedName name="QB_ROW_519250" localSheetId="1" hidden="1">'P&amp;L'!$F$91</definedName>
    <definedName name="QB_ROW_519250" localSheetId="2" hidden="1">'P&amp;L by fund - QTD'!$F$69</definedName>
    <definedName name="QB_ROW_519250" localSheetId="3" hidden="1">'P&amp;L by fund - YTD'!$F$90</definedName>
    <definedName name="QB_ROW_527250" localSheetId="4" hidden="1">'Budget V Actual - YTD'!$F$43</definedName>
    <definedName name="QB_ROW_528240" localSheetId="0" hidden="1">'Balance Sheet'!$E$25</definedName>
    <definedName name="QB_ROW_529240" localSheetId="4" hidden="1">'Budget V Actual - YTD'!$E$5</definedName>
    <definedName name="QB_ROW_529240" localSheetId="1" hidden="1">'P&amp;L'!$E$5</definedName>
    <definedName name="QB_ROW_529240" localSheetId="2" hidden="1">'P&amp;L by fund - QTD'!$E$4</definedName>
    <definedName name="QB_ROW_529240" localSheetId="3" hidden="1">'P&amp;L by fund - YTD'!$E$4</definedName>
    <definedName name="QB_ROW_5311" localSheetId="0" hidden="1">'Balance Sheet'!$B$58</definedName>
    <definedName name="QB_ROW_531240" localSheetId="1" hidden="1">'P&amp;L'!$E$12</definedName>
    <definedName name="QB_ROW_531240" localSheetId="2" hidden="1">'P&amp;L by fund - QTD'!$E$11</definedName>
    <definedName name="QB_ROW_531240" localSheetId="3" hidden="1">'P&amp;L by fund - YTD'!$E$11</definedName>
    <definedName name="QB_ROW_533240" localSheetId="0" hidden="1">'Balance Sheet'!$E$21</definedName>
    <definedName name="QB_ROW_534250" localSheetId="4" hidden="1">'Budget V Actual - YTD'!$F$84</definedName>
    <definedName name="QB_ROW_534250" localSheetId="1" hidden="1">'P&amp;L'!$F$79</definedName>
    <definedName name="QB_ROW_534250" localSheetId="2" hidden="1">'P&amp;L by fund - QTD'!$F$59</definedName>
    <definedName name="QB_ROW_534250" localSheetId="3" hidden="1">'P&amp;L by fund - YTD'!$F$78</definedName>
    <definedName name="QB_ROW_536250" localSheetId="4" hidden="1">'Budget V Actual - YTD'!$F$63</definedName>
    <definedName name="QB_ROW_536250" localSheetId="1" hidden="1">'P&amp;L'!$F$58</definedName>
    <definedName name="QB_ROW_536250" localSheetId="2" hidden="1">'P&amp;L by fund - QTD'!$F$43</definedName>
    <definedName name="QB_ROW_536250" localSheetId="3" hidden="1">'P&amp;L by fund - YTD'!$F$57</definedName>
    <definedName name="QB_ROW_537250" localSheetId="4" hidden="1">'Budget V Actual - YTD'!$F$62</definedName>
    <definedName name="QB_ROW_537250" localSheetId="1" hidden="1">'P&amp;L'!$F$57</definedName>
    <definedName name="QB_ROW_537250" localSheetId="3" hidden="1">'P&amp;L by fund - YTD'!$F$56</definedName>
    <definedName name="QB_ROW_538250" localSheetId="4" hidden="1">'Budget V Actual - YTD'!$F$61</definedName>
    <definedName name="QB_ROW_538250" localSheetId="1" hidden="1">'P&amp;L'!$F$56</definedName>
    <definedName name="QB_ROW_538250" localSheetId="2" hidden="1">'P&amp;L by fund - QTD'!$F$42</definedName>
    <definedName name="QB_ROW_538250" localSheetId="3" hidden="1">'P&amp;L by fund - YTD'!$F$55</definedName>
    <definedName name="QB_ROW_543220" localSheetId="0" hidden="1">'Balance Sheet'!$C$79</definedName>
    <definedName name="QB_ROW_544030" localSheetId="0" hidden="1">'Balance Sheet'!$D$73</definedName>
    <definedName name="QB_ROW_544330" localSheetId="0" hidden="1">'Balance Sheet'!$D$75</definedName>
    <definedName name="QB_ROW_545240" localSheetId="0" hidden="1">'Balance Sheet'!$E$74</definedName>
    <definedName name="QB_ROW_546250" localSheetId="4" hidden="1">'Budget V Actual - YTD'!$F$176</definedName>
    <definedName name="QB_ROW_546250" localSheetId="1" hidden="1">'P&amp;L'!$F$165</definedName>
    <definedName name="QB_ROW_546250" localSheetId="2" hidden="1">'P&amp;L by fund - QTD'!$F$126</definedName>
    <definedName name="QB_ROW_546250" localSheetId="3" hidden="1">'P&amp;L by fund - YTD'!$F$164</definedName>
    <definedName name="QB_ROW_547250" localSheetId="4" hidden="1">'Budget V Actual - YTD'!$F$171</definedName>
    <definedName name="QB_ROW_547250" localSheetId="1" hidden="1">'P&amp;L'!$F$160</definedName>
    <definedName name="QB_ROW_547250" localSheetId="2" hidden="1">'P&amp;L by fund - QTD'!$F$121</definedName>
    <definedName name="QB_ROW_547250" localSheetId="3" hidden="1">'P&amp;L by fund - YTD'!$F$159</definedName>
    <definedName name="QB_ROW_549250" localSheetId="4" hidden="1">'Budget V Actual - YTD'!$F$94</definedName>
    <definedName name="QB_ROW_549250" localSheetId="1" hidden="1">'P&amp;L'!$F$89</definedName>
    <definedName name="QB_ROW_549250" localSheetId="3" hidden="1">'P&amp;L by fund - YTD'!$F$88</definedName>
    <definedName name="QB_ROW_555250" localSheetId="4" hidden="1">'Budget V Actual - YTD'!$F$237</definedName>
    <definedName name="QB_ROW_555250" localSheetId="1" hidden="1">'P&amp;L'!$F$226</definedName>
    <definedName name="QB_ROW_555250" localSheetId="3" hidden="1">'P&amp;L by fund - YTD'!$F$225</definedName>
    <definedName name="QB_ROW_560240" localSheetId="0" hidden="1">'Balance Sheet'!$E$22</definedName>
    <definedName name="QB_ROW_56250" localSheetId="4" hidden="1">'Budget V Actual - YTD'!$F$42</definedName>
    <definedName name="QB_ROW_56250" localSheetId="1" hidden="1">'P&amp;L'!$F$38</definedName>
    <definedName name="QB_ROW_56250" localSheetId="2" hidden="1">'P&amp;L by fund - QTD'!$F$26</definedName>
    <definedName name="QB_ROW_56250" localSheetId="3" hidden="1">'P&amp;L by fund - YTD'!$F$37</definedName>
    <definedName name="QB_ROW_57250" localSheetId="4" hidden="1">'Budget V Actual - YTD'!$F$130</definedName>
    <definedName name="QB_ROW_57250" localSheetId="1" hidden="1">'P&amp;L'!$F$118</definedName>
    <definedName name="QB_ROW_57250" localSheetId="2" hidden="1">'P&amp;L by fund - QTD'!$F$85</definedName>
    <definedName name="QB_ROW_57250" localSheetId="3" hidden="1">'P&amp;L by fund - YTD'!$F$117</definedName>
    <definedName name="QB_ROW_59250" localSheetId="4" hidden="1">'Budget V Actual - YTD'!$F$131</definedName>
    <definedName name="QB_ROW_59250" localSheetId="1" hidden="1">'P&amp;L'!$F$119</definedName>
    <definedName name="QB_ROW_59250" localSheetId="2" hidden="1">'P&amp;L by fund - QTD'!$F$86</definedName>
    <definedName name="QB_ROW_59250" localSheetId="3" hidden="1">'P&amp;L by fund - YTD'!$F$118</definedName>
    <definedName name="QB_ROW_60250" localSheetId="4" hidden="1">'Budget V Actual - YTD'!$F$50</definedName>
    <definedName name="QB_ROW_60250" localSheetId="1" hidden="1">'P&amp;L'!$F$45</definedName>
    <definedName name="QB_ROW_60250" localSheetId="2" hidden="1">'P&amp;L by fund - QTD'!$F$32</definedName>
    <definedName name="QB_ROW_60250" localSheetId="3" hidden="1">'P&amp;L by fund - YTD'!$F$44</definedName>
    <definedName name="QB_ROW_6030" localSheetId="0" hidden="1">'Balance Sheet'!$D$5</definedName>
    <definedName name="QB_ROW_61250" localSheetId="4" hidden="1">'Budget V Actual - YTD'!$F$51</definedName>
    <definedName name="QB_ROW_61250" localSheetId="1" hidden="1">'P&amp;L'!$F$46</definedName>
    <definedName name="QB_ROW_61250" localSheetId="2" hidden="1">'P&amp;L by fund - QTD'!$F$33</definedName>
    <definedName name="QB_ROW_61250" localSheetId="3" hidden="1">'P&amp;L by fund - YTD'!$F$45</definedName>
    <definedName name="QB_ROW_62250" localSheetId="4" hidden="1">'Budget V Actual - YTD'!$F$133</definedName>
    <definedName name="QB_ROW_62250" localSheetId="1" hidden="1">'P&amp;L'!$F$121</definedName>
    <definedName name="QB_ROW_62250" localSheetId="2" hidden="1">'P&amp;L by fund - QTD'!$F$88</definedName>
    <definedName name="QB_ROW_62250" localSheetId="3" hidden="1">'P&amp;L by fund - YTD'!$F$120</definedName>
    <definedName name="QB_ROW_6330" localSheetId="0" hidden="1">'Balance Sheet'!$D$29</definedName>
    <definedName name="QB_ROW_65250" localSheetId="4" hidden="1">'Budget V Actual - YTD'!$F$53</definedName>
    <definedName name="QB_ROW_65250" localSheetId="1" hidden="1">'P&amp;L'!$F$48</definedName>
    <definedName name="QB_ROW_65250" localSheetId="2" hidden="1">'P&amp;L by fund - QTD'!$F$35</definedName>
    <definedName name="QB_ROW_65250" localSheetId="3" hidden="1">'P&amp;L by fund - YTD'!$F$47</definedName>
    <definedName name="QB_ROW_66250" localSheetId="4" hidden="1">'Budget V Actual - YTD'!$F$134</definedName>
    <definedName name="QB_ROW_66250" localSheetId="1" hidden="1">'P&amp;L'!$F$122</definedName>
    <definedName name="QB_ROW_66250" localSheetId="2" hidden="1">'P&amp;L by fund - QTD'!$F$89</definedName>
    <definedName name="QB_ROW_66250" localSheetId="3" hidden="1">'P&amp;L by fund - YTD'!$F$121</definedName>
    <definedName name="QB_ROW_68040" localSheetId="4" hidden="1">'Budget V Actual - YTD'!$E$77</definedName>
    <definedName name="QB_ROW_68040" localSheetId="1" hidden="1">'P&amp;L'!$E$72</definedName>
    <definedName name="QB_ROW_68040" localSheetId="2" hidden="1">'P&amp;L by fund - QTD'!$E$53</definedName>
    <definedName name="QB_ROW_68040" localSheetId="3" hidden="1">'P&amp;L by fund - YTD'!$E$71</definedName>
    <definedName name="QB_ROW_68340" localSheetId="4" hidden="1">'Budget V Actual - YTD'!$E$87</definedName>
    <definedName name="QB_ROW_68340" localSheetId="1" hidden="1">'P&amp;L'!$E$82</definedName>
    <definedName name="QB_ROW_68340" localSheetId="2" hidden="1">'P&amp;L by fund - QTD'!$E$61</definedName>
    <definedName name="QB_ROW_68340" localSheetId="3" hidden="1">'P&amp;L by fund - YTD'!$E$81</definedName>
    <definedName name="QB_ROW_7001" localSheetId="0" hidden="1">'Balance Sheet'!$A$60</definedName>
    <definedName name="QB_ROW_71250" localSheetId="4" hidden="1">'Budget V Actual - YTD'!$F$55</definedName>
    <definedName name="QB_ROW_71250" localSheetId="1" hidden="1">'P&amp;L'!$F$50</definedName>
    <definedName name="QB_ROW_71250" localSheetId="2" hidden="1">'P&amp;L by fund - QTD'!$F$37</definedName>
    <definedName name="QB_ROW_71250" localSheetId="3" hidden="1">'P&amp;L by fund - YTD'!$F$49</definedName>
    <definedName name="QB_ROW_72250" localSheetId="4" hidden="1">'Budget V Actual - YTD'!$F$72</definedName>
    <definedName name="QB_ROW_72250" localSheetId="1" hidden="1">'P&amp;L'!$F$67</definedName>
    <definedName name="QB_ROW_72250" localSheetId="2" hidden="1">'P&amp;L by fund - QTD'!$F$51</definedName>
    <definedName name="QB_ROW_72250" localSheetId="3" hidden="1">'P&amp;L by fund - YTD'!$F$66</definedName>
    <definedName name="QB_ROW_7301" localSheetId="0" hidden="1">'Balance Sheet'!$A$84</definedName>
    <definedName name="QB_ROW_73250" localSheetId="4" hidden="1">'Budget V Actual - YTD'!$F$65</definedName>
    <definedName name="QB_ROW_73250" localSheetId="1" hidden="1">'P&amp;L'!$F$60</definedName>
    <definedName name="QB_ROW_73250" localSheetId="2" hidden="1">'P&amp;L by fund - QTD'!$F$45</definedName>
    <definedName name="QB_ROW_73250" localSheetId="3" hidden="1">'P&amp;L by fund - YTD'!$F$59</definedName>
    <definedName name="QB_ROW_75040" localSheetId="4" hidden="1">'Budget V Actual - YTD'!$E$245</definedName>
    <definedName name="QB_ROW_75040" localSheetId="1" hidden="1">'P&amp;L'!$E$234</definedName>
    <definedName name="QB_ROW_75040" localSheetId="2" hidden="1">'P&amp;L by fund - QTD'!$E$176</definedName>
    <definedName name="QB_ROW_75040" localSheetId="3" hidden="1">'P&amp;L by fund - YTD'!$E$233</definedName>
    <definedName name="QB_ROW_75340" localSheetId="4" hidden="1">'Budget V Actual - YTD'!$E$251</definedName>
    <definedName name="QB_ROW_75340" localSheetId="1" hidden="1">'P&amp;L'!$E$240</definedName>
    <definedName name="QB_ROW_75340" localSheetId="2" hidden="1">'P&amp;L by fund - QTD'!$E$182</definedName>
    <definedName name="QB_ROW_75340" localSheetId="3" hidden="1">'P&amp;L by fund - YTD'!$E$239</definedName>
    <definedName name="QB_ROW_76250" localSheetId="4" hidden="1">'Budget V Actual - YTD'!$F$216</definedName>
    <definedName name="QB_ROW_76250" localSheetId="1" hidden="1">'P&amp;L'!$F$205</definedName>
    <definedName name="QB_ROW_76250" localSheetId="2" hidden="1">'P&amp;L by fund - QTD'!$F$157</definedName>
    <definedName name="QB_ROW_76250" localSheetId="3" hidden="1">'P&amp;L by fund - YTD'!$F$204</definedName>
    <definedName name="QB_ROW_77250" localSheetId="4" hidden="1">'Budget V Actual - YTD'!$F$231</definedName>
    <definedName name="QB_ROW_77250" localSheetId="1" hidden="1">'P&amp;L'!$F$220</definedName>
    <definedName name="QB_ROW_77250" localSheetId="2" hidden="1">'P&amp;L by fund - QTD'!$F$168</definedName>
    <definedName name="QB_ROW_77250" localSheetId="3" hidden="1">'P&amp;L by fund - YTD'!$F$219</definedName>
    <definedName name="QB_ROW_78250" localSheetId="4" hidden="1">'Budget V Actual - YTD'!$F$234</definedName>
    <definedName name="QB_ROW_78250" localSheetId="1" hidden="1">'P&amp;L'!$F$223</definedName>
    <definedName name="QB_ROW_78250" localSheetId="2" hidden="1">'P&amp;L by fund - QTD'!$F$171</definedName>
    <definedName name="QB_ROW_78250" localSheetId="3" hidden="1">'P&amp;L by fund - YTD'!$F$222</definedName>
    <definedName name="QB_ROW_8011" localSheetId="0" hidden="1">'Balance Sheet'!$B$61</definedName>
    <definedName name="QB_ROW_8030" localSheetId="0" hidden="1">'Balance Sheet'!$D$30</definedName>
    <definedName name="QB_ROW_82250" localSheetId="4" hidden="1">'Budget V Actual - YTD'!$F$113</definedName>
    <definedName name="QB_ROW_82250" localSheetId="1" hidden="1">'P&amp;L'!$F$108</definedName>
    <definedName name="QB_ROW_82250" localSheetId="3" hidden="1">'P&amp;L by fund - YTD'!$F$107</definedName>
    <definedName name="QB_ROW_8311" localSheetId="0" hidden="1">'Balance Sheet'!$B$77</definedName>
    <definedName name="QB_ROW_8330" localSheetId="0" hidden="1">'Balance Sheet'!$D$32</definedName>
    <definedName name="QB_ROW_85040" localSheetId="4" hidden="1">'Budget V Actual - YTD'!$E$154</definedName>
    <definedName name="QB_ROW_85040" localSheetId="1" hidden="1">'P&amp;L'!$E$140</definedName>
    <definedName name="QB_ROW_85040" localSheetId="2" hidden="1">'P&amp;L by fund - QTD'!$E$103</definedName>
    <definedName name="QB_ROW_85040" localSheetId="3" hidden="1">'P&amp;L by fund - YTD'!$E$139</definedName>
    <definedName name="QB_ROW_85340" localSheetId="4" hidden="1">'Budget V Actual - YTD'!$E$156</definedName>
    <definedName name="QB_ROW_85340" localSheetId="1" hidden="1">'P&amp;L'!$E$142</definedName>
    <definedName name="QB_ROW_85340" localSheetId="2" hidden="1">'P&amp;L by fund - QTD'!$E$105</definedName>
    <definedName name="QB_ROW_85340" localSheetId="3" hidden="1">'P&amp;L by fund - YTD'!$E$141</definedName>
    <definedName name="QB_ROW_86321" localSheetId="4" hidden="1">'Budget V Actual - YTD'!$C$37</definedName>
    <definedName name="QB_ROW_86321" localSheetId="1" hidden="1">'P&amp;L'!$C$33</definedName>
    <definedName name="QB_ROW_86321" localSheetId="2" hidden="1">'P&amp;L by fund - QTD'!$C$22</definedName>
    <definedName name="QB_ROW_86321" localSheetId="3" hidden="1">'P&amp;L by fund - YTD'!$C$32</definedName>
    <definedName name="QB_ROW_89250" localSheetId="4" hidden="1">'Budget V Actual - YTD'!$F$102</definedName>
    <definedName name="QB_ROW_89250" localSheetId="1" hidden="1">'P&amp;L'!$F$97</definedName>
    <definedName name="QB_ROW_89250" localSheetId="2" hidden="1">'P&amp;L by fund - QTD'!$F$73</definedName>
    <definedName name="QB_ROW_89250" localSheetId="3" hidden="1">'P&amp;L by fund - YTD'!$F$96</definedName>
    <definedName name="QB_ROW_9021" localSheetId="0" hidden="1">'Balance Sheet'!$C$62</definedName>
    <definedName name="QB_ROW_90250" localSheetId="4" hidden="1">'Budget V Actual - YTD'!$F$161</definedName>
    <definedName name="QB_ROW_90250" localSheetId="1" hidden="1">'P&amp;L'!$F$147</definedName>
    <definedName name="QB_ROW_90250" localSheetId="2" hidden="1">'P&amp;L by fund - QTD'!$F$110</definedName>
    <definedName name="QB_ROW_90250" localSheetId="3" hidden="1">'P&amp;L by fund - YTD'!$F$146</definedName>
    <definedName name="QB_ROW_91250" localSheetId="4" hidden="1">'Budget V Actual - YTD'!$F$136</definedName>
    <definedName name="QB_ROW_91250" localSheetId="1" hidden="1">'P&amp;L'!$F$124</definedName>
    <definedName name="QB_ROW_91250" localSheetId="2" hidden="1">'P&amp;L by fund - QTD'!$F$91</definedName>
    <definedName name="QB_ROW_91250" localSheetId="3" hidden="1">'P&amp;L by fund - YTD'!$F$123</definedName>
    <definedName name="QB_ROW_92250" localSheetId="4" hidden="1">'Budget V Actual - YTD'!$F$140</definedName>
    <definedName name="QB_ROW_92250" localSheetId="1" hidden="1">'P&amp;L'!$F$128</definedName>
    <definedName name="QB_ROW_92250" localSheetId="2" hidden="1">'P&amp;L by fund - QTD'!$F$93</definedName>
    <definedName name="QB_ROW_92250" localSheetId="3" hidden="1">'P&amp;L by fund - YTD'!$F$127</definedName>
    <definedName name="QB_ROW_9230" localSheetId="0" hidden="1">'Balance Sheet'!$D$41</definedName>
    <definedName name="QB_ROW_9321" localSheetId="0" hidden="1">'Balance Sheet'!$C$71</definedName>
    <definedName name="QB_ROW_94250" localSheetId="4" hidden="1">'Budget V Actual - YTD'!$F$139</definedName>
    <definedName name="QB_ROW_94250" localSheetId="1" hidden="1">'P&amp;L'!$F$127</definedName>
    <definedName name="QB_ROW_94250" localSheetId="2" hidden="1">'P&amp;L by fund - QTD'!$F$92</definedName>
    <definedName name="QB_ROW_94250" localSheetId="3" hidden="1">'P&amp;L by fund - YTD'!$F$126</definedName>
    <definedName name="QB_ROW_95250" localSheetId="4" hidden="1">'Budget V Actual - YTD'!$F$142</definedName>
    <definedName name="QB_ROW_95250" localSheetId="1" hidden="1">'P&amp;L'!$F$130</definedName>
    <definedName name="QB_ROW_95250" localSheetId="2" hidden="1">'P&amp;L by fund - QTD'!$F$95</definedName>
    <definedName name="QB_ROW_95250" localSheetId="3" hidden="1">'P&amp;L by fund - YTD'!$F$129</definedName>
    <definedName name="QB_ROW_96040" localSheetId="4" hidden="1">'Budget V Actual - YTD'!$E$167</definedName>
    <definedName name="QB_ROW_96040" localSheetId="1" hidden="1">'P&amp;L'!$E$156</definedName>
    <definedName name="QB_ROW_96040" localSheetId="2" hidden="1">'P&amp;L by fund - QTD'!$E$118</definedName>
    <definedName name="QB_ROW_96040" localSheetId="3" hidden="1">'P&amp;L by fund - YTD'!$E$155</definedName>
    <definedName name="QB_ROW_96340" localSheetId="4" hidden="1">'Budget V Actual - YTD'!$E$172</definedName>
    <definedName name="QB_ROW_96340" localSheetId="1" hidden="1">'P&amp;L'!$E$161</definedName>
    <definedName name="QB_ROW_96340" localSheetId="2" hidden="1">'P&amp;L by fund - QTD'!$E$122</definedName>
    <definedName name="QB_ROW_96340" localSheetId="3" hidden="1">'P&amp;L by fund - YTD'!$E$160</definedName>
    <definedName name="QB_ROW_97250" localSheetId="4" hidden="1">'Budget V Actual - YTD'!$F$170</definedName>
    <definedName name="QB_ROW_97250" localSheetId="1" hidden="1">'P&amp;L'!$F$159</definedName>
    <definedName name="QB_ROW_97250" localSheetId="2" hidden="1">'P&amp;L by fund - QTD'!$F$120</definedName>
    <definedName name="QB_ROW_97250" localSheetId="3" hidden="1">'P&amp;L by fund - YTD'!$F$158</definedName>
    <definedName name="QB_ROW_98250" localSheetId="4" hidden="1">'Budget V Actual - YTD'!$F$253</definedName>
    <definedName name="QB_ROW_98250" localSheetId="1" hidden="1">'P&amp;L'!$F$242</definedName>
    <definedName name="QB_ROW_98250" localSheetId="3" hidden="1">'P&amp;L by fund - YTD'!$F$241</definedName>
    <definedName name="QB_ROW_99250" localSheetId="4" hidden="1">'Budget V Actual - YTD'!$F$183</definedName>
    <definedName name="QB_ROW_99250" localSheetId="1" hidden="1">'P&amp;L'!$F$172</definedName>
    <definedName name="QB_ROW_99250" localSheetId="2" hidden="1">'P&amp;L by fund - QTD'!$F$132</definedName>
    <definedName name="QB_ROW_99250" localSheetId="3" hidden="1">'P&amp;L by fund - YTD'!$F$171</definedName>
    <definedName name="QBCANSUPPORTUPDATE" localSheetId="0">TRUE</definedName>
    <definedName name="QBCANSUPPORTUPDATE" localSheetId="4">TRUE</definedName>
    <definedName name="QBCANSUPPORTUPDATE" localSheetId="1">TRUE</definedName>
    <definedName name="QBCANSUPPORTUPDATE" localSheetId="2">TRUE</definedName>
    <definedName name="QBCANSUPPORTUPDATE" localSheetId="3">TRUE</definedName>
    <definedName name="QBCOMPANYFILENAME" localSheetId="0">"Q:\Quickbooks\QBP 2024\_Charter Schools\Believe Schools Inc.qbw"</definedName>
    <definedName name="QBCOMPANYFILENAME" localSheetId="4">"Q:\Quickbooks\QBP 2024\_Charter Schools\Believe Schools Inc.qbw"</definedName>
    <definedName name="QBCOMPANYFILENAME" localSheetId="1">"Q:\Quickbooks\QBP 2024\_Charter Schools\Believe Schools Inc.qbw"</definedName>
    <definedName name="QBCOMPANYFILENAME" localSheetId="2">"Q:\Quickbooks\QBP 2024\_Charter Schools\Believe Schools Inc.qbw"</definedName>
    <definedName name="QBCOMPANYFILENAME" localSheetId="3">"Q:\Quickbooks\QBP 2024\_Charter Schools\Believe Schools Inc.qbw"</definedName>
    <definedName name="QBENDDATE" localSheetId="0">20260630</definedName>
    <definedName name="QBENDDATE" localSheetId="4">20260630</definedName>
    <definedName name="QBENDDATE" localSheetId="1">20260630</definedName>
    <definedName name="QBENDDATE" localSheetId="2">20260630</definedName>
    <definedName name="QBENDDATE" localSheetId="3">20260630</definedName>
    <definedName name="QBHEADERSONSCREEN" localSheetId="0">FALSE</definedName>
    <definedName name="QBHEADERSONSCREEN" localSheetId="4">FALSE</definedName>
    <definedName name="QBHEADERSONSCREEN" localSheetId="1">FALSE</definedName>
    <definedName name="QBHEADERSONSCREEN" localSheetId="2">FALSE</definedName>
    <definedName name="QBHEADERSONSCREEN" localSheetId="3">FALSE</definedName>
    <definedName name="QBMETADATASIZE" localSheetId="0">5964</definedName>
    <definedName name="QBMETADATASIZE" localSheetId="4">5964</definedName>
    <definedName name="QBMETADATASIZE" localSheetId="1">5964</definedName>
    <definedName name="QBMETADATASIZE" localSheetId="2">5971</definedName>
    <definedName name="QBMETADATASIZE" localSheetId="3">5971</definedName>
    <definedName name="QBPRESERVECOLOR" localSheetId="0">TRUE</definedName>
    <definedName name="QBPRESERVECOLOR" localSheetId="4">TRUE</definedName>
    <definedName name="QBPRESERVECOLOR" localSheetId="1">TRUE</definedName>
    <definedName name="QBPRESERVECOLOR" localSheetId="2">TRUE</definedName>
    <definedName name="QBPRESERVECOLOR" localSheetId="3">TRUE</definedName>
    <definedName name="QBPRESERVEFONT" localSheetId="0">TRUE</definedName>
    <definedName name="QBPRESERVEFONT" localSheetId="4">TRUE</definedName>
    <definedName name="QBPRESERVEFONT" localSheetId="1">TRUE</definedName>
    <definedName name="QBPRESERVEFONT" localSheetId="2">TRUE</definedName>
    <definedName name="QBPRESERVEFONT" localSheetId="3">TRUE</definedName>
    <definedName name="QBPRESERVEROWHEIGHT" localSheetId="0">TRUE</definedName>
    <definedName name="QBPRESERVEROWHEIGHT" localSheetId="4">TRUE</definedName>
    <definedName name="QBPRESERVEROWHEIGHT" localSheetId="1">TRUE</definedName>
    <definedName name="QBPRESERVEROWHEIGHT" localSheetId="2">TRUE</definedName>
    <definedName name="QBPRESERVEROWHEIGHT" localSheetId="3">TRUE</definedName>
    <definedName name="QBPRESERVESPACE" localSheetId="0">TRUE</definedName>
    <definedName name="QBPRESERVESPACE" localSheetId="4">TRUE</definedName>
    <definedName name="QBPRESERVESPACE" localSheetId="1">TRUE</definedName>
    <definedName name="QBPRESERVESPACE" localSheetId="2">TRUE</definedName>
    <definedName name="QBPRESERVESPACE" localSheetId="3">TRUE</definedName>
    <definedName name="QBREPORTCOLAXIS" localSheetId="0">0</definedName>
    <definedName name="QBREPORTCOLAXIS" localSheetId="4">0</definedName>
    <definedName name="QBREPORTCOLAXIS" localSheetId="1">0</definedName>
    <definedName name="QBREPORTCOLAXIS" localSheetId="2">19</definedName>
    <definedName name="QBREPORTCOLAXIS" localSheetId="3">19</definedName>
    <definedName name="QBREPORTCOMPANYID" localSheetId="0">"8cd72409fe8f4e85bee7ef1a90e6d1d8"</definedName>
    <definedName name="QBREPORTCOMPANYID" localSheetId="4">"8cd72409fe8f4e85bee7ef1a90e6d1d8"</definedName>
    <definedName name="QBREPORTCOMPANYID" localSheetId="1">"8cd72409fe8f4e85bee7ef1a90e6d1d8"</definedName>
    <definedName name="QBREPORTCOMPANYID" localSheetId="2">"8cd72409fe8f4e85bee7ef1a90e6d1d8"</definedName>
    <definedName name="QBREPORTCOMPANYID" localSheetId="3">"8cd72409fe8f4e85bee7ef1a90e6d1d8"</definedName>
    <definedName name="QBREPORTCOMPARECOL_ANNUALBUDGET" localSheetId="0">FALSE</definedName>
    <definedName name="QBREPORTCOMPARECOL_ANNUALBUDGET" localSheetId="4">FALSE</definedName>
    <definedName name="QBREPORTCOMPARECOL_ANNUALBUDGET" localSheetId="1">FALSE</definedName>
    <definedName name="QBREPORTCOMPARECOL_ANNUALBUDGET" localSheetId="2">FALSE</definedName>
    <definedName name="QBREPORTCOMPARECOL_ANNUALBUDGET" localSheetId="3">FALSE</definedName>
    <definedName name="QBREPORTCOMPARECOL_AVGCOGS" localSheetId="0">FALSE</definedName>
    <definedName name="QBREPORTCOMPARECOL_AVGCOGS" localSheetId="4">FALSE</definedName>
    <definedName name="QBREPORTCOMPARECOL_AVGCOGS" localSheetId="1">FALSE</definedName>
    <definedName name="QBREPORTCOMPARECOL_AVGCOGS" localSheetId="2">FALSE</definedName>
    <definedName name="QBREPORTCOMPARECOL_AVGCOGS" localSheetId="3">FALSE</definedName>
    <definedName name="QBREPORTCOMPARECOL_AVGPRICE" localSheetId="0">FALSE</definedName>
    <definedName name="QBREPORTCOMPARECOL_AVGPRICE" localSheetId="4">FALSE</definedName>
    <definedName name="QBREPORTCOMPARECOL_AVGPRICE" localSheetId="1">FALSE</definedName>
    <definedName name="QBREPORTCOMPARECOL_AVGPRICE" localSheetId="2">FALSE</definedName>
    <definedName name="QBREPORTCOMPARECOL_AVGPRICE" localSheetId="3">FALSE</definedName>
    <definedName name="QBREPORTCOMPARECOL_BUDDIFF" localSheetId="0">FALSE</definedName>
    <definedName name="QBREPORTCOMPARECOL_BUDDIFF" localSheetId="4">TRUE</definedName>
    <definedName name="QBREPORTCOMPARECOL_BUDDIFF" localSheetId="1">FALSE</definedName>
    <definedName name="QBREPORTCOMPARECOL_BUDDIFF" localSheetId="2">FALSE</definedName>
    <definedName name="QBREPORTCOMPARECOL_BUDDIFF" localSheetId="3">FALSE</definedName>
    <definedName name="QBREPORTCOMPARECOL_BUDGET" localSheetId="0">FALSE</definedName>
    <definedName name="QBREPORTCOMPARECOL_BUDGET" localSheetId="4">TRUE</definedName>
    <definedName name="QBREPORTCOMPARECOL_BUDGET" localSheetId="1">FALSE</definedName>
    <definedName name="QBREPORTCOMPARECOL_BUDGET" localSheetId="2">FALSE</definedName>
    <definedName name="QBREPORTCOMPARECOL_BUDGET" localSheetId="3">FALSE</definedName>
    <definedName name="QBREPORTCOMPARECOL_BUDPCT" localSheetId="0">FALSE</definedName>
    <definedName name="QBREPORTCOMPARECOL_BUDPCT" localSheetId="4">TRUE</definedName>
    <definedName name="QBREPORTCOMPARECOL_BUDPCT" localSheetId="1">FALSE</definedName>
    <definedName name="QBREPORTCOMPARECOL_BUDPCT" localSheetId="2">FALSE</definedName>
    <definedName name="QBREPORTCOMPARECOL_BUDPCT" localSheetId="3">FALSE</definedName>
    <definedName name="QBREPORTCOMPARECOL_COGS" localSheetId="0">FALSE</definedName>
    <definedName name="QBREPORTCOMPARECOL_COGS" localSheetId="4">FALSE</definedName>
    <definedName name="QBREPORTCOMPARECOL_COGS" localSheetId="1">FALSE</definedName>
    <definedName name="QBREPORTCOMPARECOL_COGS" localSheetId="2">FALSE</definedName>
    <definedName name="QBREPORTCOMPARECOL_COGS" localSheetId="3">FALSE</definedName>
    <definedName name="QBREPORTCOMPARECOL_EXCLUDEAMOUNT" localSheetId="0">FALSE</definedName>
    <definedName name="QBREPORTCOMPARECOL_EXCLUDEAMOUNT" localSheetId="4">FALSE</definedName>
    <definedName name="QBREPORTCOMPARECOL_EXCLUDEAMOUNT" localSheetId="1">FALSE</definedName>
    <definedName name="QBREPORTCOMPARECOL_EXCLUDEAMOUNT" localSheetId="2">FALSE</definedName>
    <definedName name="QBREPORTCOMPARECOL_EXCLUDEAMOUNT" localSheetId="3">FALSE</definedName>
    <definedName name="QBREPORTCOMPARECOL_EXCLUDECURPERIOD" localSheetId="0">FALSE</definedName>
    <definedName name="QBREPORTCOMPARECOL_EXCLUDECURPERIOD" localSheetId="4">FALSE</definedName>
    <definedName name="QBREPORTCOMPARECOL_EXCLUDECURPERIOD" localSheetId="1">FALSE</definedName>
    <definedName name="QBREPORTCOMPARECOL_EXCLUDECURPERIOD" localSheetId="2">FALSE</definedName>
    <definedName name="QBREPORTCOMPARECOL_EXCLUDECURPERIOD" localSheetId="3">FALSE</definedName>
    <definedName name="QBREPORTCOMPARECOL_FORECAST" localSheetId="0">FALSE</definedName>
    <definedName name="QBREPORTCOMPARECOL_FORECAST" localSheetId="4">FALSE</definedName>
    <definedName name="QBREPORTCOMPARECOL_FORECAST" localSheetId="1">FALSE</definedName>
    <definedName name="QBREPORTCOMPARECOL_FORECAST" localSheetId="2">FALSE</definedName>
    <definedName name="QBREPORTCOMPARECOL_FORECAST" localSheetId="3">FALSE</definedName>
    <definedName name="QBREPORTCOMPARECOL_GROSSMARGIN" localSheetId="0">FALSE</definedName>
    <definedName name="QBREPORTCOMPARECOL_GROSSMARGIN" localSheetId="4">FALSE</definedName>
    <definedName name="QBREPORTCOMPARECOL_GROSSMARGIN" localSheetId="1">FALSE</definedName>
    <definedName name="QBREPORTCOMPARECOL_GROSSMARGIN" localSheetId="2">FALSE</definedName>
    <definedName name="QBREPORTCOMPARECOL_GROSSMARGIN" localSheetId="3">FALSE</definedName>
    <definedName name="QBREPORTCOMPARECOL_GROSSMARGINPCT" localSheetId="0">FALSE</definedName>
    <definedName name="QBREPORTCOMPARECOL_GROSSMARGINPCT" localSheetId="4">FALSE</definedName>
    <definedName name="QBREPORTCOMPARECOL_GROSSMARGINPCT" localSheetId="1">FALSE</definedName>
    <definedName name="QBREPORTCOMPARECOL_GROSSMARGINPCT" localSheetId="2">FALSE</definedName>
    <definedName name="QBREPORTCOMPARECOL_GROSSMARGINPCT" localSheetId="3">FALSE</definedName>
    <definedName name="QBREPORTCOMPARECOL_HOURS" localSheetId="0">FALSE</definedName>
    <definedName name="QBREPORTCOMPARECOL_HOURS" localSheetId="4">FALSE</definedName>
    <definedName name="QBREPORTCOMPARECOL_HOURS" localSheetId="1">FALSE</definedName>
    <definedName name="QBREPORTCOMPARECOL_HOURS" localSheetId="2">FALSE</definedName>
    <definedName name="QBREPORTCOMPARECOL_HOURS" localSheetId="3">FALSE</definedName>
    <definedName name="QBREPORTCOMPARECOL_PCTCOL" localSheetId="0">FALSE</definedName>
    <definedName name="QBREPORTCOMPARECOL_PCTCOL" localSheetId="4">FALSE</definedName>
    <definedName name="QBREPORTCOMPARECOL_PCTCOL" localSheetId="1">FALSE</definedName>
    <definedName name="QBREPORTCOMPARECOL_PCTCOL" localSheetId="2">FALSE</definedName>
    <definedName name="QBREPORTCOMPARECOL_PCTCOL" localSheetId="3">FALSE</definedName>
    <definedName name="QBREPORTCOMPARECOL_PCTEXPENSE" localSheetId="0">FALSE</definedName>
    <definedName name="QBREPORTCOMPARECOL_PCTEXPENSE" localSheetId="4">FALSE</definedName>
    <definedName name="QBREPORTCOMPARECOL_PCTEXPENSE" localSheetId="1">FALSE</definedName>
    <definedName name="QBREPORTCOMPARECOL_PCTEXPENSE" localSheetId="2">FALSE</definedName>
    <definedName name="QBREPORTCOMPARECOL_PCTEXPENSE" localSheetId="3">FALSE</definedName>
    <definedName name="QBREPORTCOMPARECOL_PCTINCOME" localSheetId="0">FALSE</definedName>
    <definedName name="QBREPORTCOMPARECOL_PCTINCOME" localSheetId="4">FALSE</definedName>
    <definedName name="QBREPORTCOMPARECOL_PCTINCOME" localSheetId="1">FALSE</definedName>
    <definedName name="QBREPORTCOMPARECOL_PCTINCOME" localSheetId="2">FALSE</definedName>
    <definedName name="QBREPORTCOMPARECOL_PCTINCOME" localSheetId="3">FALSE</definedName>
    <definedName name="QBREPORTCOMPARECOL_PCTOFSALES" localSheetId="0">FALSE</definedName>
    <definedName name="QBREPORTCOMPARECOL_PCTOFSALES" localSheetId="4">FALSE</definedName>
    <definedName name="QBREPORTCOMPARECOL_PCTOFSALES" localSheetId="1">FALSE</definedName>
    <definedName name="QBREPORTCOMPARECOL_PCTOFSALES" localSheetId="2">FALSE</definedName>
    <definedName name="QBREPORTCOMPARECOL_PCTOFSALES" localSheetId="3">FALSE</definedName>
    <definedName name="QBREPORTCOMPARECOL_PCTROW" localSheetId="0">FALSE</definedName>
    <definedName name="QBREPORTCOMPARECOL_PCTROW" localSheetId="4">FALSE</definedName>
    <definedName name="QBREPORTCOMPARECOL_PCTROW" localSheetId="1">FALSE</definedName>
    <definedName name="QBREPORTCOMPARECOL_PCTROW" localSheetId="2">FALSE</definedName>
    <definedName name="QBREPORTCOMPARECOL_PCTROW" localSheetId="3">FALSE</definedName>
    <definedName name="QBREPORTCOMPARECOL_PPDIFF" localSheetId="0">FALSE</definedName>
    <definedName name="QBREPORTCOMPARECOL_PPDIFF" localSheetId="4">FALSE</definedName>
    <definedName name="QBREPORTCOMPARECOL_PPDIFF" localSheetId="1">FALSE</definedName>
    <definedName name="QBREPORTCOMPARECOL_PPDIFF" localSheetId="2">FALSE</definedName>
    <definedName name="QBREPORTCOMPARECOL_PPDIFF" localSheetId="3">FALSE</definedName>
    <definedName name="QBREPORTCOMPARECOL_PPPCT" localSheetId="0">FALSE</definedName>
    <definedName name="QBREPORTCOMPARECOL_PPPCT" localSheetId="4">FALSE</definedName>
    <definedName name="QBREPORTCOMPARECOL_PPPCT" localSheetId="1">FALSE</definedName>
    <definedName name="QBREPORTCOMPARECOL_PPPCT" localSheetId="2">FALSE</definedName>
    <definedName name="QBREPORTCOMPARECOL_PPPCT" localSheetId="3">FALSE</definedName>
    <definedName name="QBREPORTCOMPARECOL_PREVPERIOD" localSheetId="0">FALSE</definedName>
    <definedName name="QBREPORTCOMPARECOL_PREVPERIOD" localSheetId="4">FALSE</definedName>
    <definedName name="QBREPORTCOMPARECOL_PREVPERIOD" localSheetId="1">FALSE</definedName>
    <definedName name="QBREPORTCOMPARECOL_PREVPERIOD" localSheetId="2">FALSE</definedName>
    <definedName name="QBREPORTCOMPARECOL_PREVPERIOD" localSheetId="3">FALSE</definedName>
    <definedName name="QBREPORTCOMPARECOL_PREVYEAR" localSheetId="0">FALSE</definedName>
    <definedName name="QBREPORTCOMPARECOL_PREVYEAR" localSheetId="4">FALSE</definedName>
    <definedName name="QBREPORTCOMPARECOL_PREVYEAR" localSheetId="1">FALSE</definedName>
    <definedName name="QBREPORTCOMPARECOL_PREVYEAR" localSheetId="2">FALSE</definedName>
    <definedName name="QBREPORTCOMPARECOL_PREVYEAR" localSheetId="3">FALSE</definedName>
    <definedName name="QBREPORTCOMPARECOL_PYDIFF" localSheetId="0">FALSE</definedName>
    <definedName name="QBREPORTCOMPARECOL_PYDIFF" localSheetId="4">FALSE</definedName>
    <definedName name="QBREPORTCOMPARECOL_PYDIFF" localSheetId="1">FALSE</definedName>
    <definedName name="QBREPORTCOMPARECOL_PYDIFF" localSheetId="2">FALSE</definedName>
    <definedName name="QBREPORTCOMPARECOL_PYDIFF" localSheetId="3">FALSE</definedName>
    <definedName name="QBREPORTCOMPARECOL_PYPCT" localSheetId="0">FALSE</definedName>
    <definedName name="QBREPORTCOMPARECOL_PYPCT" localSheetId="4">FALSE</definedName>
    <definedName name="QBREPORTCOMPARECOL_PYPCT" localSheetId="1">FALSE</definedName>
    <definedName name="QBREPORTCOMPARECOL_PYPCT" localSheetId="2">FALSE</definedName>
    <definedName name="QBREPORTCOMPARECOL_PYPCT" localSheetId="3">FALSE</definedName>
    <definedName name="QBREPORTCOMPARECOL_QTY" localSheetId="0">FALSE</definedName>
    <definedName name="QBREPORTCOMPARECOL_QTY" localSheetId="4">FALSE</definedName>
    <definedName name="QBREPORTCOMPARECOL_QTY" localSheetId="1">FALSE</definedName>
    <definedName name="QBREPORTCOMPARECOL_QTY" localSheetId="2">FALSE</definedName>
    <definedName name="QBREPORTCOMPARECOL_QTY" localSheetId="3">FALSE</definedName>
    <definedName name="QBREPORTCOMPARECOL_RATE" localSheetId="0">FALSE</definedName>
    <definedName name="QBREPORTCOMPARECOL_RATE" localSheetId="4">FALSE</definedName>
    <definedName name="QBREPORTCOMPARECOL_RATE" localSheetId="1">FALSE</definedName>
    <definedName name="QBREPORTCOMPARECOL_RATE" localSheetId="2">FALSE</definedName>
    <definedName name="QBREPORTCOMPARECOL_RATE" localSheetId="3">FALSE</definedName>
    <definedName name="QBREPORTCOMPARECOL_TRIPBILLEDMILES" localSheetId="0">FALSE</definedName>
    <definedName name="QBREPORTCOMPARECOL_TRIPBILLEDMILES" localSheetId="4">FALSE</definedName>
    <definedName name="QBREPORTCOMPARECOL_TRIPBILLEDMILES" localSheetId="1">FALSE</definedName>
    <definedName name="QBREPORTCOMPARECOL_TRIPBILLEDMILES" localSheetId="2">FALSE</definedName>
    <definedName name="QBREPORTCOMPARECOL_TRIPBILLEDMILES" localSheetId="3">FALSE</definedName>
    <definedName name="QBREPORTCOMPARECOL_TRIPBILLINGAMOUNT" localSheetId="0">FALSE</definedName>
    <definedName name="QBREPORTCOMPARECOL_TRIPBILLINGAMOUNT" localSheetId="4">FALSE</definedName>
    <definedName name="QBREPORTCOMPARECOL_TRIPBILLINGAMOUNT" localSheetId="1">FALSE</definedName>
    <definedName name="QBREPORTCOMPARECOL_TRIPBILLINGAMOUNT" localSheetId="2">FALSE</definedName>
    <definedName name="QBREPORTCOMPARECOL_TRIPBILLINGAMOUNT" localSheetId="3">FALSE</definedName>
    <definedName name="QBREPORTCOMPARECOL_TRIPMILES" localSheetId="0">FALSE</definedName>
    <definedName name="QBREPORTCOMPARECOL_TRIPMILES" localSheetId="4">FALSE</definedName>
    <definedName name="QBREPORTCOMPARECOL_TRIPMILES" localSheetId="1">FALSE</definedName>
    <definedName name="QBREPORTCOMPARECOL_TRIPMILES" localSheetId="2">FALSE</definedName>
    <definedName name="QBREPORTCOMPARECOL_TRIPMILES" localSheetId="3">FALSE</definedName>
    <definedName name="QBREPORTCOMPARECOL_TRIPNOTBILLABLEMILES" localSheetId="0">FALSE</definedName>
    <definedName name="QBREPORTCOMPARECOL_TRIPNOTBILLABLEMILES" localSheetId="4">FALSE</definedName>
    <definedName name="QBREPORTCOMPARECOL_TRIPNOTBILLABLEMILES" localSheetId="1">FALSE</definedName>
    <definedName name="QBREPORTCOMPARECOL_TRIPNOTBILLABLEMILES" localSheetId="2">FALSE</definedName>
    <definedName name="QBREPORTCOMPARECOL_TRIPNOTBILLABLEMILES" localSheetId="3">FALSE</definedName>
    <definedName name="QBREPORTCOMPARECOL_TRIPTAXDEDUCTIBLEAMOUNT" localSheetId="0">FALSE</definedName>
    <definedName name="QBREPORTCOMPARECOL_TRIPTAXDEDUCTIBLEAMOUNT" localSheetId="4">FALSE</definedName>
    <definedName name="QBREPORTCOMPARECOL_TRIPTAXDEDUCTIBLEAMOUNT" localSheetId="1">FALSE</definedName>
    <definedName name="QBREPORTCOMPARECOL_TRIPTAXDEDUCTIBLEAMOUNT" localSheetId="2">FALSE</definedName>
    <definedName name="QBREPORTCOMPARECOL_TRIPTAXDEDUCTIBLEAMOUNT" localSheetId="3">FALSE</definedName>
    <definedName name="QBREPORTCOMPARECOL_TRIPUNBILLEDMILES" localSheetId="0">FALSE</definedName>
    <definedName name="QBREPORTCOMPARECOL_TRIPUNBILLEDMILES" localSheetId="4">FALSE</definedName>
    <definedName name="QBREPORTCOMPARECOL_TRIPUNBILLEDMILES" localSheetId="1">FALSE</definedName>
    <definedName name="QBREPORTCOMPARECOL_TRIPUNBILLEDMILES" localSheetId="2">FALSE</definedName>
    <definedName name="QBREPORTCOMPARECOL_TRIPUNBILLEDMILES" localSheetId="3">FALSE</definedName>
    <definedName name="QBREPORTCOMPARECOL_YTD" localSheetId="0">FALSE</definedName>
    <definedName name="QBREPORTCOMPARECOL_YTD" localSheetId="4">FALSE</definedName>
    <definedName name="QBREPORTCOMPARECOL_YTD" localSheetId="1">TRUE</definedName>
    <definedName name="QBREPORTCOMPARECOL_YTD" localSheetId="2">FALSE</definedName>
    <definedName name="QBREPORTCOMPARECOL_YTD" localSheetId="3">FALSE</definedName>
    <definedName name="QBREPORTCOMPARECOL_YTDBUDGET" localSheetId="0">FALSE</definedName>
    <definedName name="QBREPORTCOMPARECOL_YTDBUDGET" localSheetId="4">FALSE</definedName>
    <definedName name="QBREPORTCOMPARECOL_YTDBUDGET" localSheetId="1">FALSE</definedName>
    <definedName name="QBREPORTCOMPARECOL_YTDBUDGET" localSheetId="2">FALSE</definedName>
    <definedName name="QBREPORTCOMPARECOL_YTDBUDGET" localSheetId="3">FALSE</definedName>
    <definedName name="QBREPORTCOMPARECOL_YTDPCT" localSheetId="0">FALSE</definedName>
    <definedName name="QBREPORTCOMPARECOL_YTDPCT" localSheetId="4">FALSE</definedName>
    <definedName name="QBREPORTCOMPARECOL_YTDPCT" localSheetId="1">FALSE</definedName>
    <definedName name="QBREPORTCOMPARECOL_YTDPCT" localSheetId="2">FALSE</definedName>
    <definedName name="QBREPORTCOMPARECOL_YTDPCT" localSheetId="3">FALSE</definedName>
    <definedName name="QBREPORTROWAXIS" localSheetId="0">9</definedName>
    <definedName name="QBREPORTROWAXIS" localSheetId="4">11</definedName>
    <definedName name="QBREPORTROWAXIS" localSheetId="1">11</definedName>
    <definedName name="QBREPORTROWAXIS" localSheetId="2">11</definedName>
    <definedName name="QBREPORTROWAXIS" localSheetId="3">11</definedName>
    <definedName name="QBREPORTSUBCOLAXIS" localSheetId="0">0</definedName>
    <definedName name="QBREPORTSUBCOLAXIS" localSheetId="4">24</definedName>
    <definedName name="QBREPORTSUBCOLAXIS" localSheetId="1">24</definedName>
    <definedName name="QBREPORTSUBCOLAXIS" localSheetId="2">0</definedName>
    <definedName name="QBREPORTSUBCOLAXIS" localSheetId="3">0</definedName>
    <definedName name="QBREPORTTYPE" localSheetId="0">5</definedName>
    <definedName name="QBREPORTTYPE" localSheetId="4">288</definedName>
    <definedName name="QBREPORTTYPE" localSheetId="1">0</definedName>
    <definedName name="QBREPORTTYPE" localSheetId="2">0</definedName>
    <definedName name="QBREPORTTYPE" localSheetId="3">0</definedName>
    <definedName name="QBROWHEADERS" localSheetId="0">5</definedName>
    <definedName name="QBROWHEADERS" localSheetId="4">6</definedName>
    <definedName name="QBROWHEADERS" localSheetId="1">6</definedName>
    <definedName name="QBROWHEADERS" localSheetId="2">6</definedName>
    <definedName name="QBROWHEADERS" localSheetId="3">6</definedName>
    <definedName name="QBSTARTDATE" localSheetId="0">20260630</definedName>
    <definedName name="QBSTARTDATE" localSheetId="4">20250701</definedName>
    <definedName name="QBSTARTDATE" localSheetId="1">20260401</definedName>
    <definedName name="QBSTARTDATE" localSheetId="2">20260401</definedName>
    <definedName name="QBSTARTDATE" localSheetId="3">20250701</definedName>
    <definedName name="Revised">#REF!</definedName>
    <definedName name="RevisedDate">#REF!</definedName>
    <definedName name="School">#REF!</definedName>
    <definedName name="School_Name">#REF!</definedName>
    <definedName name="Start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69" l="1"/>
  <c r="K244" i="70"/>
  <c r="T247" i="53"/>
  <c r="R247" i="53"/>
  <c r="T241" i="53"/>
  <c r="Q241" i="53"/>
  <c r="L241" i="53"/>
  <c r="K241" i="53"/>
  <c r="F241" i="53"/>
  <c r="E241" i="53"/>
  <c r="R240" i="53"/>
  <c r="U240" i="53" s="1"/>
  <c r="R239" i="53"/>
  <c r="U239" i="53" s="1"/>
  <c r="R238" i="53"/>
  <c r="U238" i="53" s="1"/>
  <c r="Q238" i="53"/>
  <c r="O238" i="53"/>
  <c r="N238" i="53"/>
  <c r="E238" i="53"/>
  <c r="O237" i="53"/>
  <c r="N237" i="53"/>
  <c r="L237" i="53"/>
  <c r="K237" i="53"/>
  <c r="H237" i="53"/>
  <c r="G237" i="53"/>
  <c r="R237" i="53" s="1"/>
  <c r="U237" i="53" s="1"/>
  <c r="F237" i="53"/>
  <c r="R236" i="53"/>
  <c r="U236" i="53" s="1"/>
  <c r="R235" i="53"/>
  <c r="U235" i="53" s="1"/>
  <c r="U234" i="53"/>
  <c r="R234" i="53"/>
  <c r="R233" i="53"/>
  <c r="U233" i="53" s="1"/>
  <c r="R232" i="53"/>
  <c r="U232" i="53" s="1"/>
  <c r="U231" i="53"/>
  <c r="R231" i="53"/>
  <c r="R230" i="53"/>
  <c r="U230" i="53" s="1"/>
  <c r="R229" i="53"/>
  <c r="U229" i="53" s="1"/>
  <c r="Q228" i="53"/>
  <c r="P228" i="53"/>
  <c r="P241" i="53" s="1"/>
  <c r="O228" i="53"/>
  <c r="O241" i="53" s="1"/>
  <c r="N228" i="53"/>
  <c r="N241" i="53" s="1"/>
  <c r="N242" i="53" s="1"/>
  <c r="M228" i="53"/>
  <c r="M241" i="53" s="1"/>
  <c r="L228" i="53"/>
  <c r="K228" i="53"/>
  <c r="J228" i="53"/>
  <c r="I228" i="53"/>
  <c r="H228" i="53"/>
  <c r="G228" i="53"/>
  <c r="F228" i="53"/>
  <c r="Q227" i="53"/>
  <c r="J227" i="53"/>
  <c r="I227" i="53"/>
  <c r="H227" i="53"/>
  <c r="G227" i="53"/>
  <c r="F227" i="53"/>
  <c r="E227" i="53"/>
  <c r="R227" i="53" s="1"/>
  <c r="U227" i="53" s="1"/>
  <c r="Q226" i="53"/>
  <c r="L226" i="53"/>
  <c r="K226" i="53"/>
  <c r="J226" i="53"/>
  <c r="J241" i="53" s="1"/>
  <c r="I226" i="53"/>
  <c r="H226" i="53"/>
  <c r="G226" i="53"/>
  <c r="F226" i="53"/>
  <c r="E226" i="53"/>
  <c r="T225" i="53"/>
  <c r="Q225" i="53"/>
  <c r="P225" i="53"/>
  <c r="N225" i="53"/>
  <c r="M225" i="53"/>
  <c r="L225" i="53"/>
  <c r="K225" i="53"/>
  <c r="J225" i="53"/>
  <c r="H225" i="53"/>
  <c r="G225" i="53"/>
  <c r="F225" i="53"/>
  <c r="R224" i="53"/>
  <c r="U224" i="53" s="1"/>
  <c r="R223" i="53"/>
  <c r="U223" i="53" s="1"/>
  <c r="I222" i="53"/>
  <c r="R222" i="53" s="1"/>
  <c r="U222" i="53" s="1"/>
  <c r="R221" i="53"/>
  <c r="U221" i="53" s="1"/>
  <c r="R220" i="53"/>
  <c r="U220" i="53" s="1"/>
  <c r="R219" i="53"/>
  <c r="U219" i="53" s="1"/>
  <c r="O218" i="53"/>
  <c r="R218" i="53" s="1"/>
  <c r="U218" i="53" s="1"/>
  <c r="O217" i="53"/>
  <c r="O225" i="53" s="1"/>
  <c r="E217" i="53"/>
  <c r="E225" i="53" s="1"/>
  <c r="T216" i="53"/>
  <c r="T242" i="53" s="1"/>
  <c r="N216" i="53"/>
  <c r="M216" i="53"/>
  <c r="M242" i="53" s="1"/>
  <c r="H216" i="53"/>
  <c r="G216" i="53"/>
  <c r="E216" i="53"/>
  <c r="R215" i="53"/>
  <c r="U215" i="53" s="1"/>
  <c r="R214" i="53"/>
  <c r="U214" i="53" s="1"/>
  <c r="U213" i="53"/>
  <c r="R213" i="53"/>
  <c r="R212" i="53"/>
  <c r="U212" i="53" s="1"/>
  <c r="P211" i="53"/>
  <c r="P216" i="53" s="1"/>
  <c r="P242" i="53" s="1"/>
  <c r="R210" i="53"/>
  <c r="U210" i="53" s="1"/>
  <c r="R209" i="53"/>
  <c r="U209" i="53" s="1"/>
  <c r="Q208" i="53"/>
  <c r="O208" i="53"/>
  <c r="O216" i="53" s="1"/>
  <c r="O242" i="53" s="1"/>
  <c r="N208" i="53"/>
  <c r="M208" i="53"/>
  <c r="L208" i="53"/>
  <c r="L216" i="53" s="1"/>
  <c r="L242" i="53" s="1"/>
  <c r="K208" i="53"/>
  <c r="K216" i="53" s="1"/>
  <c r="J208" i="53"/>
  <c r="I208" i="53"/>
  <c r="I216" i="53" s="1"/>
  <c r="H208" i="53"/>
  <c r="G208" i="53"/>
  <c r="F208" i="53"/>
  <c r="F216" i="53" s="1"/>
  <c r="F242" i="53" s="1"/>
  <c r="U207" i="53"/>
  <c r="R207" i="53"/>
  <c r="Q207" i="53"/>
  <c r="Q206" i="53"/>
  <c r="Q216" i="53" s="1"/>
  <c r="Q242" i="53" s="1"/>
  <c r="J206" i="53"/>
  <c r="R203" i="53"/>
  <c r="U203" i="53" s="1"/>
  <c r="T200" i="53"/>
  <c r="Q200" i="53"/>
  <c r="M200" i="53"/>
  <c r="L200" i="53"/>
  <c r="G200" i="53"/>
  <c r="F200" i="53"/>
  <c r="E200" i="53"/>
  <c r="T199" i="53"/>
  <c r="Q199" i="53"/>
  <c r="P199" i="53"/>
  <c r="O199" i="53"/>
  <c r="N199" i="53"/>
  <c r="M199" i="53"/>
  <c r="L199" i="53"/>
  <c r="J199" i="53"/>
  <c r="I199" i="53"/>
  <c r="H199" i="53"/>
  <c r="G199" i="53"/>
  <c r="F199" i="53"/>
  <c r="E199" i="53"/>
  <c r="R198" i="53"/>
  <c r="U198" i="53" s="1"/>
  <c r="R197" i="53"/>
  <c r="U197" i="53" s="1"/>
  <c r="R196" i="53"/>
  <c r="U196" i="53" s="1"/>
  <c r="R195" i="53"/>
  <c r="U195" i="53" s="1"/>
  <c r="R194" i="53"/>
  <c r="U194" i="53" s="1"/>
  <c r="K193" i="53"/>
  <c r="T192" i="53"/>
  <c r="Q192" i="53"/>
  <c r="P192" i="53"/>
  <c r="O192" i="53"/>
  <c r="O200" i="53" s="1"/>
  <c r="N192" i="53"/>
  <c r="N200" i="53" s="1"/>
  <c r="M192" i="53"/>
  <c r="L192" i="53"/>
  <c r="K192" i="53"/>
  <c r="J192" i="53"/>
  <c r="I192" i="53"/>
  <c r="H192" i="53"/>
  <c r="H200" i="53" s="1"/>
  <c r="G192" i="53"/>
  <c r="F192" i="53"/>
  <c r="E192" i="53"/>
  <c r="R191" i="53"/>
  <c r="O188" i="53"/>
  <c r="H188" i="53"/>
  <c r="T187" i="53"/>
  <c r="R187" i="53"/>
  <c r="Q187" i="53"/>
  <c r="P187" i="53"/>
  <c r="O187" i="53"/>
  <c r="N187" i="53"/>
  <c r="M187" i="53"/>
  <c r="L187" i="53"/>
  <c r="K187" i="53"/>
  <c r="J187" i="53"/>
  <c r="I187" i="53"/>
  <c r="H187" i="53"/>
  <c r="G187" i="53"/>
  <c r="F187" i="53"/>
  <c r="E187" i="53"/>
  <c r="R186" i="53"/>
  <c r="U186" i="53" s="1"/>
  <c r="R185" i="53"/>
  <c r="U185" i="53" s="1"/>
  <c r="T184" i="53"/>
  <c r="Q184" i="53"/>
  <c r="P184" i="53"/>
  <c r="P188" i="53" s="1"/>
  <c r="O184" i="53"/>
  <c r="N184" i="53"/>
  <c r="M184" i="53"/>
  <c r="L184" i="53"/>
  <c r="K184" i="53"/>
  <c r="J184" i="53"/>
  <c r="I184" i="53"/>
  <c r="H184" i="53"/>
  <c r="G184" i="53"/>
  <c r="F184" i="53"/>
  <c r="E183" i="53"/>
  <c r="E184" i="53" s="1"/>
  <c r="R182" i="53"/>
  <c r="U182" i="53" s="1"/>
  <c r="R181" i="53"/>
  <c r="U181" i="53" s="1"/>
  <c r="R180" i="53"/>
  <c r="U180" i="53" s="1"/>
  <c r="R179" i="53"/>
  <c r="U179" i="53" s="1"/>
  <c r="T178" i="53"/>
  <c r="P178" i="53"/>
  <c r="L178" i="53"/>
  <c r="G178" i="53"/>
  <c r="F178" i="53"/>
  <c r="E178" i="53"/>
  <c r="R177" i="53"/>
  <c r="U177" i="53" s="1"/>
  <c r="R176" i="53"/>
  <c r="U176" i="53" s="1"/>
  <c r="R175" i="53"/>
  <c r="U175" i="53" s="1"/>
  <c r="R174" i="53"/>
  <c r="U174" i="53" s="1"/>
  <c r="R173" i="53"/>
  <c r="U173" i="53" s="1"/>
  <c r="R172" i="53"/>
  <c r="U172" i="53" s="1"/>
  <c r="Q171" i="53"/>
  <c r="M171" i="53"/>
  <c r="M178" i="53" s="1"/>
  <c r="I171" i="53"/>
  <c r="H171" i="53"/>
  <c r="G171" i="53"/>
  <c r="F171" i="53"/>
  <c r="R171" i="53" s="1"/>
  <c r="U171" i="53" s="1"/>
  <c r="E171" i="53"/>
  <c r="R170" i="53"/>
  <c r="U170" i="53" s="1"/>
  <c r="Q170" i="53"/>
  <c r="Q178" i="53" s="1"/>
  <c r="O170" i="53"/>
  <c r="N170" i="53"/>
  <c r="M170" i="53"/>
  <c r="L170" i="53"/>
  <c r="K170" i="53"/>
  <c r="K178" i="53" s="1"/>
  <c r="I170" i="53"/>
  <c r="H170" i="53"/>
  <c r="H178" i="53" s="1"/>
  <c r="G170" i="53"/>
  <c r="F170" i="53"/>
  <c r="R169" i="53"/>
  <c r="U169" i="53" s="1"/>
  <c r="Q168" i="53"/>
  <c r="O168" i="53"/>
  <c r="O178" i="53" s="1"/>
  <c r="N168" i="53"/>
  <c r="K168" i="53"/>
  <c r="J168" i="53"/>
  <c r="J178" i="53" s="1"/>
  <c r="J188" i="53" s="1"/>
  <c r="I168" i="53"/>
  <c r="R168" i="53" s="1"/>
  <c r="U168" i="53" s="1"/>
  <c r="N167" i="53"/>
  <c r="N178" i="53" s="1"/>
  <c r="T166" i="53"/>
  <c r="Q166" i="53"/>
  <c r="P166" i="53"/>
  <c r="O166" i="53"/>
  <c r="N166" i="53"/>
  <c r="N188" i="53" s="1"/>
  <c r="M166" i="53"/>
  <c r="L166" i="53"/>
  <c r="K166" i="53"/>
  <c r="J166" i="53"/>
  <c r="I166" i="53"/>
  <c r="H166" i="53"/>
  <c r="G166" i="53"/>
  <c r="F166" i="53"/>
  <c r="E166" i="53"/>
  <c r="R165" i="53"/>
  <c r="U165" i="53" s="1"/>
  <c r="U164" i="53"/>
  <c r="R164" i="53"/>
  <c r="R163" i="53"/>
  <c r="T162" i="53"/>
  <c r="T188" i="53" s="1"/>
  <c r="R162" i="53"/>
  <c r="Q162" i="53"/>
  <c r="P162" i="53"/>
  <c r="O162" i="53"/>
  <c r="N162" i="53"/>
  <c r="M162" i="53"/>
  <c r="L162" i="53"/>
  <c r="K162" i="53"/>
  <c r="J162" i="53"/>
  <c r="I162" i="53"/>
  <c r="H162" i="53"/>
  <c r="G162" i="53"/>
  <c r="G188" i="53" s="1"/>
  <c r="F162" i="53"/>
  <c r="E162" i="53"/>
  <c r="R161" i="53"/>
  <c r="U161" i="53" s="1"/>
  <c r="R160" i="53"/>
  <c r="U160" i="53" s="1"/>
  <c r="R159" i="53"/>
  <c r="U159" i="53" s="1"/>
  <c r="U162" i="53" s="1"/>
  <c r="T155" i="53"/>
  <c r="P155" i="53"/>
  <c r="O155" i="53"/>
  <c r="N155" i="53"/>
  <c r="M155" i="53"/>
  <c r="L155" i="53"/>
  <c r="K155" i="53"/>
  <c r="I155" i="53"/>
  <c r="H155" i="53"/>
  <c r="G155" i="53"/>
  <c r="F155" i="53"/>
  <c r="E155" i="53"/>
  <c r="Q154" i="53"/>
  <c r="I153" i="53"/>
  <c r="R153" i="53" s="1"/>
  <c r="U153" i="53" s="1"/>
  <c r="J152" i="53"/>
  <c r="U151" i="53"/>
  <c r="R151" i="53"/>
  <c r="R150" i="53"/>
  <c r="T149" i="53"/>
  <c r="R149" i="53"/>
  <c r="Q149" i="53"/>
  <c r="P149" i="53"/>
  <c r="O149" i="53"/>
  <c r="N149" i="53"/>
  <c r="M149" i="53"/>
  <c r="L149" i="53"/>
  <c r="K149" i="53"/>
  <c r="J149" i="53"/>
  <c r="I149" i="53"/>
  <c r="H149" i="53"/>
  <c r="G149" i="53"/>
  <c r="F149" i="53"/>
  <c r="E149" i="53"/>
  <c r="R148" i="53"/>
  <c r="U148" i="53" s="1"/>
  <c r="R147" i="53"/>
  <c r="U147" i="53" s="1"/>
  <c r="U146" i="53"/>
  <c r="R146" i="53"/>
  <c r="F146" i="53"/>
  <c r="R145" i="53"/>
  <c r="U145" i="53" s="1"/>
  <c r="U149" i="53" s="1"/>
  <c r="T144" i="53"/>
  <c r="P144" i="53"/>
  <c r="I144" i="53"/>
  <c r="H144" i="53"/>
  <c r="G144" i="53"/>
  <c r="O143" i="53"/>
  <c r="N143" i="53"/>
  <c r="R143" i="53" s="1"/>
  <c r="U143" i="53" s="1"/>
  <c r="U142" i="53"/>
  <c r="R142" i="53"/>
  <c r="N141" i="53"/>
  <c r="L141" i="53"/>
  <c r="Q140" i="53"/>
  <c r="O140" i="53"/>
  <c r="O144" i="53" s="1"/>
  <c r="M140" i="53"/>
  <c r="M144" i="53" s="1"/>
  <c r="L140" i="53"/>
  <c r="L144" i="53" s="1"/>
  <c r="K140" i="53"/>
  <c r="K144" i="53" s="1"/>
  <c r="J140" i="53"/>
  <c r="J144" i="53" s="1"/>
  <c r="I140" i="53"/>
  <c r="H140" i="53"/>
  <c r="F140" i="53"/>
  <c r="U139" i="53"/>
  <c r="R139" i="53"/>
  <c r="R138" i="53"/>
  <c r="U138" i="53" s="1"/>
  <c r="Q137" i="53"/>
  <c r="Q144" i="53" s="1"/>
  <c r="M137" i="53"/>
  <c r="F137" i="53"/>
  <c r="F144" i="53" s="1"/>
  <c r="E137" i="53"/>
  <c r="E144" i="53" s="1"/>
  <c r="R136" i="53"/>
  <c r="U136" i="53" s="1"/>
  <c r="U135" i="53"/>
  <c r="R135" i="53"/>
  <c r="R134" i="53"/>
  <c r="T133" i="53"/>
  <c r="Q133" i="53"/>
  <c r="P133" i="53"/>
  <c r="O133" i="53"/>
  <c r="N133" i="53"/>
  <c r="M133" i="53"/>
  <c r="L133" i="53"/>
  <c r="H133" i="53"/>
  <c r="G133" i="53"/>
  <c r="F133" i="53"/>
  <c r="E133" i="53"/>
  <c r="R132" i="53"/>
  <c r="U132" i="53" s="1"/>
  <c r="R131" i="53"/>
  <c r="U131" i="53" s="1"/>
  <c r="M130" i="53"/>
  <c r="L130" i="53"/>
  <c r="K130" i="53"/>
  <c r="K133" i="53" s="1"/>
  <c r="J130" i="53"/>
  <c r="J133" i="53" s="1"/>
  <c r="I130" i="53"/>
  <c r="I133" i="53" s="1"/>
  <c r="F130" i="53"/>
  <c r="R129" i="53"/>
  <c r="U129" i="53" s="1"/>
  <c r="R128" i="53"/>
  <c r="U128" i="53" s="1"/>
  <c r="U127" i="53"/>
  <c r="R127" i="53"/>
  <c r="T126" i="53"/>
  <c r="Q126" i="53"/>
  <c r="P126" i="53"/>
  <c r="J126" i="53"/>
  <c r="U125" i="53"/>
  <c r="R125" i="53"/>
  <c r="Q124" i="53"/>
  <c r="O124" i="53"/>
  <c r="N124" i="53"/>
  <c r="M124" i="53"/>
  <c r="L124" i="53"/>
  <c r="K124" i="53"/>
  <c r="J124" i="53"/>
  <c r="I124" i="53"/>
  <c r="H124" i="53"/>
  <c r="G124" i="53"/>
  <c r="R124" i="53" s="1"/>
  <c r="U124" i="53" s="1"/>
  <c r="R123" i="53"/>
  <c r="U123" i="53" s="1"/>
  <c r="R122" i="53"/>
  <c r="U122" i="53" s="1"/>
  <c r="Q121" i="53"/>
  <c r="O121" i="53"/>
  <c r="N121" i="53"/>
  <c r="M121" i="53"/>
  <c r="L121" i="53"/>
  <c r="K121" i="53"/>
  <c r="J121" i="53"/>
  <c r="I121" i="53"/>
  <c r="I126" i="53" s="1"/>
  <c r="I156" i="53" s="1"/>
  <c r="H121" i="53"/>
  <c r="H126" i="53" s="1"/>
  <c r="G121" i="53"/>
  <c r="F121" i="53"/>
  <c r="F126" i="53" s="1"/>
  <c r="E121" i="53"/>
  <c r="R121" i="53" s="1"/>
  <c r="U121" i="53" s="1"/>
  <c r="R120" i="53"/>
  <c r="U120" i="53" s="1"/>
  <c r="E119" i="53"/>
  <c r="R119" i="53" s="1"/>
  <c r="U119" i="53" s="1"/>
  <c r="R118" i="53"/>
  <c r="U118" i="53" s="1"/>
  <c r="R117" i="53"/>
  <c r="U117" i="53" s="1"/>
  <c r="Q116" i="53"/>
  <c r="O116" i="53"/>
  <c r="O126" i="53" s="1"/>
  <c r="O156" i="53" s="1"/>
  <c r="N116" i="53"/>
  <c r="M116" i="53"/>
  <c r="M126" i="53" s="1"/>
  <c r="L116" i="53"/>
  <c r="L126" i="53" s="1"/>
  <c r="K116" i="53"/>
  <c r="K126" i="53" s="1"/>
  <c r="G116" i="53"/>
  <c r="G126" i="53" s="1"/>
  <c r="R115" i="53"/>
  <c r="U115" i="53" s="1"/>
  <c r="R114" i="53"/>
  <c r="U113" i="53"/>
  <c r="R113" i="53"/>
  <c r="T112" i="53"/>
  <c r="Q112" i="53"/>
  <c r="P112" i="53"/>
  <c r="P156" i="53" s="1"/>
  <c r="N112" i="53"/>
  <c r="M112" i="53"/>
  <c r="J112" i="53"/>
  <c r="I112" i="53"/>
  <c r="H112" i="53"/>
  <c r="G112" i="53"/>
  <c r="F112" i="53"/>
  <c r="E112" i="53"/>
  <c r="U111" i="53"/>
  <c r="R111" i="53"/>
  <c r="R110" i="53"/>
  <c r="U110" i="53" s="1"/>
  <c r="J109" i="53"/>
  <c r="R109" i="53" s="1"/>
  <c r="U109" i="53" s="1"/>
  <c r="R108" i="53"/>
  <c r="U108" i="53" s="1"/>
  <c r="R107" i="53"/>
  <c r="U107" i="53" s="1"/>
  <c r="R106" i="53"/>
  <c r="U106" i="53" s="1"/>
  <c r="K106" i="53"/>
  <c r="O105" i="53"/>
  <c r="O112" i="53" s="1"/>
  <c r="L105" i="53"/>
  <c r="L112" i="53" s="1"/>
  <c r="L156" i="53" s="1"/>
  <c r="K105" i="53"/>
  <c r="R105" i="53" s="1"/>
  <c r="U105" i="53" s="1"/>
  <c r="R104" i="53"/>
  <c r="U104" i="53" s="1"/>
  <c r="R103" i="53"/>
  <c r="U103" i="53" s="1"/>
  <c r="R102" i="53"/>
  <c r="T98" i="53"/>
  <c r="O98" i="53"/>
  <c r="M98" i="53"/>
  <c r="K98" i="53"/>
  <c r="J98" i="53"/>
  <c r="I98" i="53"/>
  <c r="H98" i="53"/>
  <c r="G98" i="53"/>
  <c r="E98" i="53"/>
  <c r="R97" i="53"/>
  <c r="U97" i="53" s="1"/>
  <c r="U96" i="53"/>
  <c r="R96" i="53"/>
  <c r="R95" i="53"/>
  <c r="U95" i="53" s="1"/>
  <c r="R94" i="53"/>
  <c r="U94" i="53" s="1"/>
  <c r="R93" i="53"/>
  <c r="U93" i="53" s="1"/>
  <c r="R92" i="53"/>
  <c r="U92" i="53" s="1"/>
  <c r="R91" i="53"/>
  <c r="U91" i="53" s="1"/>
  <c r="R90" i="53"/>
  <c r="U90" i="53" s="1"/>
  <c r="Q89" i="53"/>
  <c r="Q98" i="53" s="1"/>
  <c r="P89" i="53"/>
  <c r="N89" i="53"/>
  <c r="N98" i="53" s="1"/>
  <c r="M89" i="53"/>
  <c r="L89" i="53"/>
  <c r="L98" i="53" s="1"/>
  <c r="F89" i="53"/>
  <c r="F98" i="53" s="1"/>
  <c r="R88" i="53"/>
  <c r="U88" i="53" s="1"/>
  <c r="R87" i="53"/>
  <c r="U87" i="53" s="1"/>
  <c r="R86" i="53"/>
  <c r="U86" i="53" s="1"/>
  <c r="R85" i="53"/>
  <c r="T84" i="53"/>
  <c r="Q84" i="53"/>
  <c r="P84" i="53"/>
  <c r="O84" i="53"/>
  <c r="N84" i="53"/>
  <c r="M84" i="53"/>
  <c r="L84" i="53"/>
  <c r="K84" i="53"/>
  <c r="J84" i="53"/>
  <c r="I84" i="53"/>
  <c r="H84" i="53"/>
  <c r="G84" i="53"/>
  <c r="F84" i="53"/>
  <c r="E84" i="53"/>
  <c r="R83" i="53"/>
  <c r="U83" i="53" s="1"/>
  <c r="R82" i="53"/>
  <c r="U82" i="53" s="1"/>
  <c r="R81" i="53"/>
  <c r="U81" i="53" s="1"/>
  <c r="R80" i="53"/>
  <c r="T79" i="53"/>
  <c r="P79" i="53"/>
  <c r="O79" i="53"/>
  <c r="N79" i="53"/>
  <c r="M79" i="53"/>
  <c r="K79" i="53"/>
  <c r="I79" i="53"/>
  <c r="H79" i="53"/>
  <c r="G79" i="53"/>
  <c r="R78" i="53"/>
  <c r="U78" i="53" s="1"/>
  <c r="R77" i="53"/>
  <c r="U77" i="53" s="1"/>
  <c r="E77" i="53"/>
  <c r="Q76" i="53"/>
  <c r="J76" i="53"/>
  <c r="F76" i="53"/>
  <c r="R76" i="53" s="1"/>
  <c r="U76" i="53" s="1"/>
  <c r="L75" i="53"/>
  <c r="J75" i="53"/>
  <c r="F75" i="53"/>
  <c r="R75" i="53" s="1"/>
  <c r="U75" i="53" s="1"/>
  <c r="Q74" i="53"/>
  <c r="Q79" i="53" s="1"/>
  <c r="L74" i="53"/>
  <c r="L79" i="53" s="1"/>
  <c r="J74" i="53"/>
  <c r="F74" i="53"/>
  <c r="E74" i="53"/>
  <c r="R73" i="53"/>
  <c r="U73" i="53" s="1"/>
  <c r="R72" i="53"/>
  <c r="U72" i="53" s="1"/>
  <c r="R71" i="53"/>
  <c r="T70" i="53"/>
  <c r="Q70" i="53"/>
  <c r="P70" i="53"/>
  <c r="O70" i="53"/>
  <c r="N70" i="53"/>
  <c r="M70" i="53"/>
  <c r="L70" i="53"/>
  <c r="K70" i="53"/>
  <c r="J70" i="53"/>
  <c r="I70" i="53"/>
  <c r="H70" i="53"/>
  <c r="R69" i="53"/>
  <c r="U69" i="53" s="1"/>
  <c r="P69" i="53"/>
  <c r="J69" i="53"/>
  <c r="G69" i="53"/>
  <c r="F69" i="53"/>
  <c r="F70" i="53" s="1"/>
  <c r="E69" i="53"/>
  <c r="U68" i="53"/>
  <c r="R68" i="53"/>
  <c r="Q67" i="53"/>
  <c r="G67" i="53"/>
  <c r="G70" i="53" s="1"/>
  <c r="E67" i="53"/>
  <c r="R67" i="53" s="1"/>
  <c r="U67" i="53" s="1"/>
  <c r="R66" i="53"/>
  <c r="U66" i="53" s="1"/>
  <c r="K66" i="53"/>
  <c r="T65" i="53"/>
  <c r="L65" i="53"/>
  <c r="Q64" i="53"/>
  <c r="R64" i="53" s="1"/>
  <c r="U64" i="53" s="1"/>
  <c r="P64" i="53"/>
  <c r="P65" i="53" s="1"/>
  <c r="M64" i="53"/>
  <c r="L64" i="53"/>
  <c r="Q63" i="53"/>
  <c r="R63" i="53" s="1"/>
  <c r="U63" i="53" s="1"/>
  <c r="Q62" i="53"/>
  <c r="O62" i="53"/>
  <c r="N62" i="53"/>
  <c r="N65" i="53" s="1"/>
  <c r="M62" i="53"/>
  <c r="M65" i="53" s="1"/>
  <c r="L62" i="53"/>
  <c r="K62" i="53"/>
  <c r="J62" i="53"/>
  <c r="I62" i="53"/>
  <c r="H62" i="53"/>
  <c r="G62" i="53"/>
  <c r="F62" i="53"/>
  <c r="E62" i="53"/>
  <c r="R62" i="53" s="1"/>
  <c r="U62" i="53" s="1"/>
  <c r="Q61" i="53"/>
  <c r="O61" i="53"/>
  <c r="N61" i="53"/>
  <c r="M61" i="53"/>
  <c r="L61" i="53"/>
  <c r="K61" i="53"/>
  <c r="J61" i="53"/>
  <c r="I61" i="53"/>
  <c r="H61" i="53"/>
  <c r="G61" i="53"/>
  <c r="F61" i="53"/>
  <c r="E61" i="53"/>
  <c r="R61" i="53" s="1"/>
  <c r="U61" i="53" s="1"/>
  <c r="Q60" i="53"/>
  <c r="O60" i="53"/>
  <c r="N60" i="53"/>
  <c r="M60" i="53"/>
  <c r="L60" i="53"/>
  <c r="K60" i="53"/>
  <c r="K65" i="53" s="1"/>
  <c r="J60" i="53"/>
  <c r="I60" i="53"/>
  <c r="H60" i="53"/>
  <c r="H65" i="53" s="1"/>
  <c r="G60" i="53"/>
  <c r="G65" i="53" s="1"/>
  <c r="F60" i="53"/>
  <c r="F65" i="53" s="1"/>
  <c r="E60" i="53"/>
  <c r="E65" i="53" s="1"/>
  <c r="T59" i="53"/>
  <c r="P59" i="53"/>
  <c r="O59" i="53"/>
  <c r="I59" i="53"/>
  <c r="R58" i="53"/>
  <c r="U58" i="53" s="1"/>
  <c r="Q58" i="53"/>
  <c r="J58" i="53"/>
  <c r="L57" i="53"/>
  <c r="K57" i="53"/>
  <c r="J57" i="53"/>
  <c r="I57" i="53"/>
  <c r="H57" i="53"/>
  <c r="H59" i="53" s="1"/>
  <c r="G57" i="53"/>
  <c r="F57" i="53"/>
  <c r="F59" i="53" s="1"/>
  <c r="E57" i="53"/>
  <c r="R57" i="53" s="1"/>
  <c r="U57" i="53" s="1"/>
  <c r="Q56" i="53"/>
  <c r="E56" i="53"/>
  <c r="R56" i="53" s="1"/>
  <c r="U56" i="53" s="1"/>
  <c r="R55" i="53"/>
  <c r="U55" i="53" s="1"/>
  <c r="I55" i="53"/>
  <c r="G55" i="53"/>
  <c r="E55" i="53"/>
  <c r="Q54" i="53"/>
  <c r="Q59" i="53" s="1"/>
  <c r="O54" i="53"/>
  <c r="N54" i="53"/>
  <c r="N59" i="53" s="1"/>
  <c r="M54" i="53"/>
  <c r="M59" i="53" s="1"/>
  <c r="L54" i="53"/>
  <c r="L59" i="53" s="1"/>
  <c r="L99" i="53" s="1"/>
  <c r="K54" i="53"/>
  <c r="K59" i="53" s="1"/>
  <c r="K99" i="53" s="1"/>
  <c r="J54" i="53"/>
  <c r="J59" i="53" s="1"/>
  <c r="G54" i="53"/>
  <c r="G59" i="53" s="1"/>
  <c r="G99" i="53" s="1"/>
  <c r="E54" i="53"/>
  <c r="L51" i="53"/>
  <c r="K51" i="53"/>
  <c r="F51" i="53"/>
  <c r="E51" i="53"/>
  <c r="T50" i="53"/>
  <c r="Q50" i="53"/>
  <c r="P50" i="53"/>
  <c r="O50" i="53"/>
  <c r="N50" i="53"/>
  <c r="L50" i="53"/>
  <c r="K50" i="53"/>
  <c r="J50" i="53"/>
  <c r="I50" i="53"/>
  <c r="F50" i="53"/>
  <c r="E50" i="53"/>
  <c r="R49" i="53"/>
  <c r="U49" i="53" s="1"/>
  <c r="M48" i="53"/>
  <c r="M50" i="53" s="1"/>
  <c r="I48" i="53"/>
  <c r="H48" i="53"/>
  <c r="H50" i="53" s="1"/>
  <c r="G48" i="53"/>
  <c r="G50" i="53" s="1"/>
  <c r="F48" i="53"/>
  <c r="R47" i="53"/>
  <c r="U47" i="53" s="1"/>
  <c r="R46" i="53"/>
  <c r="U45" i="53"/>
  <c r="R45" i="53"/>
  <c r="T44" i="53"/>
  <c r="R44" i="53"/>
  <c r="Q44" i="53"/>
  <c r="P44" i="53"/>
  <c r="O44" i="53"/>
  <c r="N44" i="53"/>
  <c r="M44" i="53"/>
  <c r="L44" i="53"/>
  <c r="K44" i="53"/>
  <c r="J44" i="53"/>
  <c r="I44" i="53"/>
  <c r="H44" i="53"/>
  <c r="G44" i="53"/>
  <c r="F44" i="53"/>
  <c r="E44" i="53"/>
  <c r="U43" i="53"/>
  <c r="U44" i="53" s="1"/>
  <c r="R43" i="53"/>
  <c r="T42" i="53"/>
  <c r="O42" i="53"/>
  <c r="N42" i="53"/>
  <c r="M42" i="53"/>
  <c r="L42" i="53"/>
  <c r="K42" i="53"/>
  <c r="J42" i="53"/>
  <c r="I42" i="53"/>
  <c r="H42" i="53"/>
  <c r="G42" i="53"/>
  <c r="F42" i="53"/>
  <c r="E42" i="53"/>
  <c r="U41" i="53"/>
  <c r="R41" i="53"/>
  <c r="R40" i="53"/>
  <c r="U40" i="53" s="1"/>
  <c r="R39" i="53"/>
  <c r="U39" i="53" s="1"/>
  <c r="U38" i="53"/>
  <c r="R38" i="53"/>
  <c r="R37" i="53"/>
  <c r="U37" i="53" s="1"/>
  <c r="P36" i="53"/>
  <c r="R36" i="53" s="1"/>
  <c r="U36" i="53" s="1"/>
  <c r="R35" i="53"/>
  <c r="U35" i="53" s="1"/>
  <c r="U34" i="53"/>
  <c r="R34" i="53"/>
  <c r="R33" i="53"/>
  <c r="U33" i="53" s="1"/>
  <c r="R32" i="53"/>
  <c r="U32" i="53" s="1"/>
  <c r="U31" i="53"/>
  <c r="R31" i="53"/>
  <c r="R30" i="53"/>
  <c r="U30" i="53" s="1"/>
  <c r="R29" i="53"/>
  <c r="U29" i="53" s="1"/>
  <c r="Q28" i="53"/>
  <c r="Q42" i="53" s="1"/>
  <c r="U27" i="53"/>
  <c r="R27" i="53"/>
  <c r="R26" i="53"/>
  <c r="U26" i="53" s="1"/>
  <c r="R25" i="53"/>
  <c r="U24" i="53"/>
  <c r="R24" i="53"/>
  <c r="T23" i="53"/>
  <c r="Q23" i="53"/>
  <c r="P23" i="53"/>
  <c r="O23" i="53"/>
  <c r="N23" i="53"/>
  <c r="M23" i="53"/>
  <c r="L23" i="53"/>
  <c r="K23" i="53"/>
  <c r="J23" i="53"/>
  <c r="I23" i="53"/>
  <c r="H23" i="53"/>
  <c r="G23" i="53"/>
  <c r="F23" i="53"/>
  <c r="E23" i="53"/>
  <c r="U22" i="53"/>
  <c r="R22" i="53"/>
  <c r="Q21" i="53"/>
  <c r="P21" i="53"/>
  <c r="R21" i="53" s="1"/>
  <c r="T20" i="53"/>
  <c r="Q20" i="53"/>
  <c r="P20" i="53"/>
  <c r="O20" i="53"/>
  <c r="N20" i="53"/>
  <c r="M20" i="53"/>
  <c r="L20" i="53"/>
  <c r="K20" i="53"/>
  <c r="J20" i="53"/>
  <c r="I20" i="53"/>
  <c r="H20" i="53"/>
  <c r="G20" i="53"/>
  <c r="F20" i="53"/>
  <c r="E20" i="53"/>
  <c r="R19" i="53"/>
  <c r="U19" i="53" s="1"/>
  <c r="U18" i="53"/>
  <c r="R18" i="53"/>
  <c r="R17" i="53"/>
  <c r="U17" i="53" s="1"/>
  <c r="R16" i="53"/>
  <c r="R20" i="53" s="1"/>
  <c r="U15" i="53"/>
  <c r="Q15" i="53"/>
  <c r="P15" i="53"/>
  <c r="O15" i="53"/>
  <c r="N15" i="53"/>
  <c r="M15" i="53"/>
  <c r="L15" i="53"/>
  <c r="K15" i="53"/>
  <c r="J15" i="53"/>
  <c r="I15" i="53"/>
  <c r="H15" i="53"/>
  <c r="G15" i="53"/>
  <c r="F15" i="53"/>
  <c r="E15" i="53"/>
  <c r="U14" i="53"/>
  <c r="R14" i="53"/>
  <c r="R15" i="53" s="1"/>
  <c r="T13" i="53"/>
  <c r="T51" i="53" s="1"/>
  <c r="P13" i="53"/>
  <c r="O13" i="53"/>
  <c r="O51" i="53" s="1"/>
  <c r="N13" i="53"/>
  <c r="N51" i="53" s="1"/>
  <c r="L13" i="53"/>
  <c r="K13" i="53"/>
  <c r="J13" i="53"/>
  <c r="J51" i="53" s="1"/>
  <c r="I13" i="53"/>
  <c r="I51" i="53" s="1"/>
  <c r="H13" i="53"/>
  <c r="H51" i="53" s="1"/>
  <c r="G13" i="53"/>
  <c r="G51" i="53" s="1"/>
  <c r="F13" i="53"/>
  <c r="E13" i="53"/>
  <c r="U12" i="53"/>
  <c r="R12" i="53"/>
  <c r="R11" i="53"/>
  <c r="U11" i="53" s="1"/>
  <c r="R10" i="53"/>
  <c r="U10" i="53" s="1"/>
  <c r="Q9" i="53"/>
  <c r="Q13" i="53" s="1"/>
  <c r="Q51" i="53" s="1"/>
  <c r="M9" i="53"/>
  <c r="M13" i="53" s="1"/>
  <c r="M51" i="53" s="1"/>
  <c r="O99" i="53" l="1"/>
  <c r="O244" i="53" s="1"/>
  <c r="O245" i="53"/>
  <c r="O248" i="53" s="1"/>
  <c r="O249" i="53" s="1"/>
  <c r="P247" i="53" s="1"/>
  <c r="M99" i="53"/>
  <c r="J156" i="53"/>
  <c r="U42" i="53"/>
  <c r="R42" i="53"/>
  <c r="U21" i="53"/>
  <c r="U23" i="53" s="1"/>
  <c r="R23" i="53"/>
  <c r="N99" i="53"/>
  <c r="H99" i="53"/>
  <c r="P42" i="53"/>
  <c r="P51" i="53" s="1"/>
  <c r="E126" i="53"/>
  <c r="J155" i="53"/>
  <c r="R152" i="53"/>
  <c r="U152" i="53" s="1"/>
  <c r="R89" i="53"/>
  <c r="U89" i="53" s="1"/>
  <c r="P98" i="53"/>
  <c r="P99" i="53" s="1"/>
  <c r="R140" i="53"/>
  <c r="U140" i="53" s="1"/>
  <c r="K188" i="53"/>
  <c r="R183" i="53"/>
  <c r="U183" i="53" s="1"/>
  <c r="U184" i="53" s="1"/>
  <c r="I200" i="53"/>
  <c r="J216" i="53"/>
  <c r="J242" i="53" s="1"/>
  <c r="R206" i="53"/>
  <c r="R9" i="53"/>
  <c r="U16" i="53"/>
  <c r="U20" i="53" s="1"/>
  <c r="U25" i="53"/>
  <c r="R28" i="53"/>
  <c r="U28" i="53" s="1"/>
  <c r="U46" i="53"/>
  <c r="U50" i="53" s="1"/>
  <c r="E59" i="53"/>
  <c r="E70" i="53"/>
  <c r="J79" i="53"/>
  <c r="R84" i="53"/>
  <c r="U80" i="53"/>
  <c r="U84" i="53" s="1"/>
  <c r="R112" i="53"/>
  <c r="E156" i="53"/>
  <c r="K112" i="53"/>
  <c r="K156" i="53" s="1"/>
  <c r="T156" i="53"/>
  <c r="R116" i="53"/>
  <c r="U116" i="53" s="1"/>
  <c r="N144" i="53"/>
  <c r="F188" i="53"/>
  <c r="L188" i="53"/>
  <c r="L244" i="53" s="1"/>
  <c r="L245" i="53" s="1"/>
  <c r="L248" i="53" s="1"/>
  <c r="R192" i="53"/>
  <c r="U191" i="53"/>
  <c r="U192" i="53" s="1"/>
  <c r="J200" i="53"/>
  <c r="P200" i="53"/>
  <c r="G241" i="53"/>
  <c r="G242" i="53" s="1"/>
  <c r="R60" i="53"/>
  <c r="U71" i="53"/>
  <c r="U102" i="53"/>
  <c r="U112" i="53" s="1"/>
  <c r="F156" i="53"/>
  <c r="R137" i="53"/>
  <c r="U137" i="53" s="1"/>
  <c r="Q155" i="53"/>
  <c r="R154" i="53"/>
  <c r="U154" i="53" s="1"/>
  <c r="M188" i="53"/>
  <c r="I242" i="53"/>
  <c r="R74" i="53"/>
  <c r="U74" i="53" s="1"/>
  <c r="E79" i="53"/>
  <c r="R54" i="53"/>
  <c r="U70" i="53"/>
  <c r="Q156" i="53"/>
  <c r="E188" i="53"/>
  <c r="R48" i="53"/>
  <c r="U48" i="53" s="1"/>
  <c r="T99" i="53"/>
  <c r="I65" i="53"/>
  <c r="I99" i="53" s="1"/>
  <c r="I244" i="53" s="1"/>
  <c r="I245" i="53" s="1"/>
  <c r="I248" i="53" s="1"/>
  <c r="I249" i="53" s="1"/>
  <c r="O65" i="53"/>
  <c r="R98" i="53"/>
  <c r="U85" i="53"/>
  <c r="U98" i="53" s="1"/>
  <c r="G156" i="53"/>
  <c r="M156" i="53"/>
  <c r="R130" i="53"/>
  <c r="U130" i="53" s="1"/>
  <c r="U133" i="53" s="1"/>
  <c r="R141" i="53"/>
  <c r="U141" i="53" s="1"/>
  <c r="R166" i="53"/>
  <c r="U187" i="53"/>
  <c r="R211" i="53"/>
  <c r="U211" i="53" s="1"/>
  <c r="E242" i="53"/>
  <c r="H241" i="53"/>
  <c r="H242" i="53" s="1"/>
  <c r="R226" i="53"/>
  <c r="K199" i="53"/>
  <c r="K200" i="53" s="1"/>
  <c r="K244" i="53" s="1"/>
  <c r="K245" i="53" s="1"/>
  <c r="K248" i="53" s="1"/>
  <c r="K249" i="53" s="1"/>
  <c r="L247" i="53" s="1"/>
  <c r="L249" i="53" s="1"/>
  <c r="M247" i="53" s="1"/>
  <c r="R193" i="53"/>
  <c r="F79" i="53"/>
  <c r="F99" i="53" s="1"/>
  <c r="F244" i="53" s="1"/>
  <c r="F245" i="53" s="1"/>
  <c r="F248" i="53" s="1"/>
  <c r="Q188" i="53"/>
  <c r="J65" i="53"/>
  <c r="J99" i="53" s="1"/>
  <c r="J244" i="53" s="1"/>
  <c r="J245" i="53" s="1"/>
  <c r="J248" i="53" s="1"/>
  <c r="J249" i="53" s="1"/>
  <c r="Q65" i="53"/>
  <c r="Q99" i="53" s="1"/>
  <c r="Q244" i="53" s="1"/>
  <c r="Q245" i="53" s="1"/>
  <c r="Q248" i="53" s="1"/>
  <c r="Q249" i="53" s="1"/>
  <c r="H156" i="53"/>
  <c r="R126" i="53"/>
  <c r="U114" i="53"/>
  <c r="U126" i="53" s="1"/>
  <c r="N126" i="53"/>
  <c r="N156" i="53" s="1"/>
  <c r="K242" i="53"/>
  <c r="R208" i="53"/>
  <c r="U208" i="53" s="1"/>
  <c r="I241" i="53"/>
  <c r="R70" i="53"/>
  <c r="R167" i="53"/>
  <c r="I225" i="53"/>
  <c r="U134" i="53"/>
  <c r="U150" i="53"/>
  <c r="U155" i="53" s="1"/>
  <c r="I178" i="53"/>
  <c r="I188" i="53" s="1"/>
  <c r="R184" i="53"/>
  <c r="U163" i="53"/>
  <c r="U166" i="53" s="1"/>
  <c r="R217" i="53"/>
  <c r="R228" i="53"/>
  <c r="U228" i="53" s="1"/>
  <c r="G244" i="53" l="1"/>
  <c r="G245" i="53" s="1"/>
  <c r="G248" i="53" s="1"/>
  <c r="G249" i="53" s="1"/>
  <c r="H247" i="53" s="1"/>
  <c r="U206" i="53"/>
  <c r="U216" i="53" s="1"/>
  <c r="U242" i="53" s="1"/>
  <c r="R216" i="53"/>
  <c r="U226" i="53"/>
  <c r="U241" i="53" s="1"/>
  <c r="R241" i="53"/>
  <c r="U156" i="53"/>
  <c r="H244" i="53"/>
  <c r="H245" i="53" s="1"/>
  <c r="H248" i="53" s="1"/>
  <c r="R199" i="53"/>
  <c r="R200" i="53" s="1"/>
  <c r="U193" i="53"/>
  <c r="U199" i="53" s="1"/>
  <c r="R13" i="53"/>
  <c r="U9" i="53"/>
  <c r="U13" i="53" s="1"/>
  <c r="U51" i="53" s="1"/>
  <c r="E99" i="53"/>
  <c r="E244" i="53" s="1"/>
  <c r="E245" i="53" s="1"/>
  <c r="E248" i="53" s="1"/>
  <c r="E249" i="53" s="1"/>
  <c r="F247" i="53" s="1"/>
  <c r="F249" i="53" s="1"/>
  <c r="R144" i="53"/>
  <c r="R156" i="53" s="1"/>
  <c r="U79" i="53"/>
  <c r="U200" i="53"/>
  <c r="N244" i="53"/>
  <c r="N245" i="53" s="1"/>
  <c r="N248" i="53" s="1"/>
  <c r="M244" i="53"/>
  <c r="M245" i="53" s="1"/>
  <c r="M248" i="53" s="1"/>
  <c r="M249" i="53" s="1"/>
  <c r="N247" i="53" s="1"/>
  <c r="N249" i="53" s="1"/>
  <c r="U167" i="53"/>
  <c r="U178" i="53" s="1"/>
  <c r="U188" i="53" s="1"/>
  <c r="R178" i="53"/>
  <c r="R188" i="53" s="1"/>
  <c r="P244" i="53"/>
  <c r="P245" i="53" s="1"/>
  <c r="P248" i="53" s="1"/>
  <c r="U144" i="53"/>
  <c r="R59" i="53"/>
  <c r="U54" i="53"/>
  <c r="U59" i="53" s="1"/>
  <c r="R225" i="53"/>
  <c r="U217" i="53"/>
  <c r="U225" i="53" s="1"/>
  <c r="R133" i="53"/>
  <c r="T244" i="53"/>
  <c r="T245" i="53" s="1"/>
  <c r="T248" i="53" s="1"/>
  <c r="T249" i="53" s="1"/>
  <c r="R155" i="53"/>
  <c r="R65" i="53"/>
  <c r="U60" i="53"/>
  <c r="U65" i="53" s="1"/>
  <c r="R79" i="53"/>
  <c r="R50" i="53"/>
  <c r="R248" i="53" l="1"/>
  <c r="R249" i="53" s="1"/>
  <c r="P249" i="53"/>
  <c r="R99" i="53"/>
  <c r="R244" i="53" s="1"/>
  <c r="R51" i="53"/>
  <c r="R245" i="53" s="1"/>
  <c r="U99" i="53"/>
  <c r="U244" i="53" s="1"/>
  <c r="U245" i="53" s="1"/>
  <c r="H249" i="53"/>
  <c r="R242" i="53"/>
  <c r="K5" i="73" l="1"/>
  <c r="M5" i="73"/>
  <c r="K6" i="73"/>
  <c r="M6" i="73"/>
  <c r="K7" i="73"/>
  <c r="M7" i="73"/>
  <c r="K8" i="73"/>
  <c r="M8" i="73"/>
  <c r="K9" i="73"/>
  <c r="M9" i="73"/>
  <c r="K10" i="73"/>
  <c r="M10" i="73"/>
  <c r="K11" i="73"/>
  <c r="M11" i="73"/>
  <c r="K12" i="73"/>
  <c r="M12" i="73"/>
  <c r="K13" i="73"/>
  <c r="M13" i="73"/>
  <c r="K14" i="73"/>
  <c r="M14" i="73"/>
  <c r="K15" i="73"/>
  <c r="M15" i="73"/>
  <c r="K16" i="73"/>
  <c r="M16" i="73"/>
  <c r="K17" i="73"/>
  <c r="M17" i="73"/>
  <c r="K18" i="73"/>
  <c r="M18" i="73"/>
  <c r="K19" i="73"/>
  <c r="M19" i="73"/>
  <c r="K20" i="73"/>
  <c r="M20" i="73"/>
  <c r="K21" i="73"/>
  <c r="M21" i="73"/>
  <c r="K22" i="73"/>
  <c r="M22" i="73"/>
  <c r="K23" i="73"/>
  <c r="M23" i="73"/>
  <c r="K24" i="73"/>
  <c r="M24" i="73"/>
  <c r="K25" i="73"/>
  <c r="M25" i="73"/>
  <c r="K26" i="73"/>
  <c r="M26" i="73"/>
  <c r="K27" i="73"/>
  <c r="M27" i="73"/>
  <c r="K28" i="73"/>
  <c r="M28" i="73"/>
  <c r="K29" i="73"/>
  <c r="M29" i="73"/>
  <c r="K31" i="73"/>
  <c r="M31" i="73"/>
  <c r="G32" i="73"/>
  <c r="K32" i="73" s="1"/>
  <c r="I32" i="73"/>
  <c r="M32" i="73" s="1"/>
  <c r="K33" i="73"/>
  <c r="M33" i="73"/>
  <c r="K34" i="73"/>
  <c r="M34" i="73"/>
  <c r="K35" i="73"/>
  <c r="M35" i="73"/>
  <c r="K39" i="73"/>
  <c r="M39" i="73"/>
  <c r="K40" i="73"/>
  <c r="M40" i="73"/>
  <c r="K42" i="73"/>
  <c r="M42" i="73"/>
  <c r="K43" i="73"/>
  <c r="M43" i="73"/>
  <c r="K44" i="73"/>
  <c r="M44" i="73"/>
  <c r="K45" i="73"/>
  <c r="M45" i="73"/>
  <c r="K46" i="73"/>
  <c r="M46" i="73"/>
  <c r="K47" i="73"/>
  <c r="M47" i="73"/>
  <c r="K48" i="73"/>
  <c r="M48" i="73"/>
  <c r="K49" i="73"/>
  <c r="M49" i="73"/>
  <c r="K50" i="73"/>
  <c r="M50" i="73"/>
  <c r="K51" i="73"/>
  <c r="M51" i="73"/>
  <c r="K52" i="73"/>
  <c r="M52" i="73"/>
  <c r="K53" i="73"/>
  <c r="M53" i="73"/>
  <c r="K54" i="73"/>
  <c r="M54" i="73"/>
  <c r="K55" i="73"/>
  <c r="M55" i="73"/>
  <c r="K56" i="73"/>
  <c r="M56" i="73"/>
  <c r="K57" i="73"/>
  <c r="M57" i="73"/>
  <c r="K58" i="73"/>
  <c r="M58" i="73"/>
  <c r="K59" i="73"/>
  <c r="M59" i="73"/>
  <c r="K60" i="73"/>
  <c r="M60" i="73"/>
  <c r="K61" i="73"/>
  <c r="M61" i="73"/>
  <c r="K62" i="73"/>
  <c r="M62" i="73"/>
  <c r="K63" i="73"/>
  <c r="M63" i="73"/>
  <c r="K64" i="73"/>
  <c r="M64" i="73"/>
  <c r="K65" i="73"/>
  <c r="M65" i="73"/>
  <c r="K66" i="73"/>
  <c r="M66" i="73"/>
  <c r="K67" i="73"/>
  <c r="M67" i="73"/>
  <c r="K68" i="73"/>
  <c r="M68" i="73"/>
  <c r="K69" i="73"/>
  <c r="M69" i="73"/>
  <c r="K70" i="73"/>
  <c r="M70" i="73"/>
  <c r="K71" i="73"/>
  <c r="M71" i="73"/>
  <c r="K72" i="73"/>
  <c r="M72" i="73"/>
  <c r="G73" i="73"/>
  <c r="K73" i="73" s="1"/>
  <c r="I73" i="73"/>
  <c r="M73" i="73" s="1"/>
  <c r="K75" i="73"/>
  <c r="M75" i="73"/>
  <c r="G76" i="73"/>
  <c r="K76" i="73" s="1"/>
  <c r="I76" i="73"/>
  <c r="M76" i="73" s="1"/>
  <c r="K78" i="73"/>
  <c r="M78" i="73"/>
  <c r="K79" i="73"/>
  <c r="M79" i="73"/>
  <c r="K80" i="73"/>
  <c r="M80" i="73"/>
  <c r="K81" i="73"/>
  <c r="M81" i="73"/>
  <c r="K82" i="73"/>
  <c r="M82" i="73"/>
  <c r="K83" i="73"/>
  <c r="M83" i="73"/>
  <c r="K84" i="73"/>
  <c r="M84" i="73"/>
  <c r="K85" i="73"/>
  <c r="M85" i="73"/>
  <c r="K86" i="73"/>
  <c r="M86" i="73"/>
  <c r="G87" i="73"/>
  <c r="I87" i="73"/>
  <c r="K87" i="73"/>
  <c r="M87" i="73"/>
  <c r="K89" i="73"/>
  <c r="M89" i="73"/>
  <c r="G90" i="73"/>
  <c r="I90" i="73"/>
  <c r="K90" i="73"/>
  <c r="M90" i="73"/>
  <c r="K92" i="73"/>
  <c r="M92" i="73"/>
  <c r="K93" i="73"/>
  <c r="M93" i="73"/>
  <c r="K94" i="73"/>
  <c r="M94" i="73"/>
  <c r="K95" i="73"/>
  <c r="M95" i="73"/>
  <c r="K96" i="73"/>
  <c r="M96" i="73"/>
  <c r="K97" i="73"/>
  <c r="M97" i="73"/>
  <c r="K98" i="73"/>
  <c r="M98" i="73"/>
  <c r="G99" i="73"/>
  <c r="I99" i="73"/>
  <c r="K99" i="73"/>
  <c r="M99" i="73"/>
  <c r="K101" i="73"/>
  <c r="M101" i="73"/>
  <c r="K102" i="73"/>
  <c r="M102" i="73"/>
  <c r="G103" i="73"/>
  <c r="K103" i="73" s="1"/>
  <c r="I103" i="73"/>
  <c r="M103" i="73" s="1"/>
  <c r="K105" i="73"/>
  <c r="M105" i="73"/>
  <c r="K106" i="73"/>
  <c r="M106" i="73"/>
  <c r="K107" i="73"/>
  <c r="M107" i="73"/>
  <c r="K108" i="73"/>
  <c r="M108" i="73"/>
  <c r="G109" i="73"/>
  <c r="K109" i="73" s="1"/>
  <c r="I109" i="73"/>
  <c r="M109" i="73" s="1"/>
  <c r="K111" i="73"/>
  <c r="M111" i="73"/>
  <c r="K112" i="73"/>
  <c r="M112" i="73"/>
  <c r="K113" i="73"/>
  <c r="M113" i="73"/>
  <c r="K114" i="73"/>
  <c r="M114" i="73"/>
  <c r="K115" i="73"/>
  <c r="M115" i="73"/>
  <c r="G116" i="73"/>
  <c r="I116" i="73"/>
  <c r="K116" i="73"/>
  <c r="M116" i="73"/>
  <c r="K118" i="73"/>
  <c r="M118" i="73"/>
  <c r="G119" i="73"/>
  <c r="I119" i="73"/>
  <c r="K119" i="73"/>
  <c r="M119" i="73"/>
  <c r="K121" i="73"/>
  <c r="M121" i="73"/>
  <c r="G122" i="73"/>
  <c r="I122" i="73"/>
  <c r="K122" i="73"/>
  <c r="M122" i="73"/>
  <c r="K124" i="73"/>
  <c r="M124" i="73"/>
  <c r="K125" i="73"/>
  <c r="M125" i="73"/>
  <c r="K126" i="73"/>
  <c r="M126" i="73"/>
  <c r="G127" i="73"/>
  <c r="K127" i="73" s="1"/>
  <c r="I127" i="73"/>
  <c r="M127" i="73" s="1"/>
  <c r="K129" i="73"/>
  <c r="M129" i="73"/>
  <c r="K130" i="73"/>
  <c r="M130" i="73"/>
  <c r="K131" i="73"/>
  <c r="M131" i="73"/>
  <c r="K132" i="73"/>
  <c r="M132" i="73"/>
  <c r="K133" i="73"/>
  <c r="M133" i="73"/>
  <c r="K134" i="73"/>
  <c r="M134" i="73"/>
  <c r="K135" i="73"/>
  <c r="M135" i="73"/>
  <c r="K136" i="73"/>
  <c r="M136" i="73"/>
  <c r="K137" i="73"/>
  <c r="M137" i="73"/>
  <c r="K138" i="73"/>
  <c r="M138" i="73"/>
  <c r="K139" i="73"/>
  <c r="M139" i="73"/>
  <c r="K140" i="73"/>
  <c r="M140" i="73"/>
  <c r="K141" i="73"/>
  <c r="M141" i="73"/>
  <c r="K142" i="73"/>
  <c r="M142" i="73"/>
  <c r="G143" i="73"/>
  <c r="I143" i="73"/>
  <c r="K143" i="73"/>
  <c r="M143" i="73"/>
  <c r="K145" i="73"/>
  <c r="M145" i="73"/>
  <c r="K146" i="73"/>
  <c r="M146" i="73"/>
  <c r="K147" i="73"/>
  <c r="M147" i="73"/>
  <c r="K148" i="73"/>
  <c r="M148" i="73"/>
  <c r="K149" i="73"/>
  <c r="M149" i="73"/>
  <c r="K150" i="73"/>
  <c r="M150" i="73"/>
  <c r="K151" i="73"/>
  <c r="M151" i="73"/>
  <c r="K152" i="73"/>
  <c r="M152" i="73"/>
  <c r="G153" i="73"/>
  <c r="I153" i="73"/>
  <c r="K153" i="73"/>
  <c r="M153" i="73"/>
  <c r="K155" i="73"/>
  <c r="M155" i="73"/>
  <c r="G156" i="73"/>
  <c r="I156" i="73"/>
  <c r="K156" i="73"/>
  <c r="M156" i="73"/>
  <c r="K158" i="73"/>
  <c r="M158" i="73"/>
  <c r="G159" i="73"/>
  <c r="I159" i="73"/>
  <c r="K159" i="73"/>
  <c r="M159" i="73"/>
  <c r="K161" i="73"/>
  <c r="M161" i="73"/>
  <c r="K162" i="73"/>
  <c r="M162" i="73"/>
  <c r="G163" i="73"/>
  <c r="K163" i="73" s="1"/>
  <c r="I163" i="73"/>
  <c r="M163" i="73" s="1"/>
  <c r="K165" i="73"/>
  <c r="M165" i="73"/>
  <c r="G166" i="73"/>
  <c r="K166" i="73" s="1"/>
  <c r="I166" i="73"/>
  <c r="M166" i="73" s="1"/>
  <c r="K168" i="73"/>
  <c r="M168" i="73"/>
  <c r="K169" i="73"/>
  <c r="M169" i="73"/>
  <c r="K170" i="73"/>
  <c r="M170" i="73"/>
  <c r="K171" i="73"/>
  <c r="M171" i="73"/>
  <c r="G172" i="73"/>
  <c r="K172" i="73" s="1"/>
  <c r="I172" i="73"/>
  <c r="M172" i="73" s="1"/>
  <c r="K174" i="73"/>
  <c r="M174" i="73"/>
  <c r="K175" i="73"/>
  <c r="M175" i="73"/>
  <c r="K176" i="73"/>
  <c r="M176" i="73"/>
  <c r="K177" i="73"/>
  <c r="M177" i="73"/>
  <c r="K178" i="73"/>
  <c r="M178" i="73"/>
  <c r="K179" i="73"/>
  <c r="M179" i="73"/>
  <c r="K180" i="73"/>
  <c r="M180" i="73"/>
  <c r="K181" i="73"/>
  <c r="M181" i="73"/>
  <c r="K182" i="73"/>
  <c r="M182" i="73"/>
  <c r="K183" i="73"/>
  <c r="M183" i="73"/>
  <c r="K184" i="73"/>
  <c r="M184" i="73"/>
  <c r="K185" i="73"/>
  <c r="M185" i="73"/>
  <c r="K186" i="73"/>
  <c r="M186" i="73"/>
  <c r="K187" i="73"/>
  <c r="M187" i="73"/>
  <c r="G188" i="73"/>
  <c r="I188" i="73"/>
  <c r="K188" i="73"/>
  <c r="M188" i="73"/>
  <c r="K190" i="73"/>
  <c r="M190" i="73"/>
  <c r="G191" i="73"/>
  <c r="I191" i="73"/>
  <c r="K191" i="73"/>
  <c r="M191" i="73"/>
  <c r="K193" i="73"/>
  <c r="M193" i="73"/>
  <c r="K194" i="73"/>
  <c r="M194" i="73"/>
  <c r="G195" i="73"/>
  <c r="I195" i="73"/>
  <c r="K195" i="73"/>
  <c r="M195" i="73"/>
  <c r="K197" i="73"/>
  <c r="M197" i="73"/>
  <c r="G198" i="73"/>
  <c r="I198" i="73"/>
  <c r="K198" i="73"/>
  <c r="M198" i="73"/>
  <c r="K200" i="73"/>
  <c r="M200" i="73"/>
  <c r="K201" i="73"/>
  <c r="M201" i="73"/>
  <c r="K202" i="73"/>
  <c r="M202" i="73"/>
  <c r="K203" i="73"/>
  <c r="M203" i="73"/>
  <c r="K204" i="73"/>
  <c r="M204" i="73"/>
  <c r="G205" i="73"/>
  <c r="K205" i="73" s="1"/>
  <c r="I205" i="73"/>
  <c r="M205" i="73" s="1"/>
  <c r="K207" i="73"/>
  <c r="M207" i="73"/>
  <c r="G208" i="73"/>
  <c r="K208" i="73" s="1"/>
  <c r="I208" i="73"/>
  <c r="M208" i="73" s="1"/>
  <c r="K210" i="73"/>
  <c r="M210" i="73"/>
  <c r="K211" i="73"/>
  <c r="M211" i="73"/>
  <c r="K212" i="73"/>
  <c r="M212" i="73"/>
  <c r="K213" i="73"/>
  <c r="M213" i="73"/>
  <c r="K214" i="73"/>
  <c r="M214" i="73"/>
  <c r="K215" i="73"/>
  <c r="M215" i="73"/>
  <c r="K216" i="73"/>
  <c r="M216" i="73"/>
  <c r="K217" i="73"/>
  <c r="M217" i="73"/>
  <c r="K218" i="73"/>
  <c r="M218" i="73"/>
  <c r="G219" i="73"/>
  <c r="I219" i="73"/>
  <c r="K219" i="73"/>
  <c r="M219" i="73"/>
  <c r="K221" i="73"/>
  <c r="M221" i="73"/>
  <c r="K222" i="73"/>
  <c r="M222" i="73"/>
  <c r="K223" i="73"/>
  <c r="M223" i="73"/>
  <c r="K224" i="73"/>
  <c r="M224" i="73"/>
  <c r="K225" i="73"/>
  <c r="M225" i="73"/>
  <c r="K226" i="73"/>
  <c r="M226" i="73"/>
  <c r="K227" i="73"/>
  <c r="M227" i="73"/>
  <c r="K228" i="73"/>
  <c r="M228" i="73"/>
  <c r="G229" i="73"/>
  <c r="K229" i="73" s="1"/>
  <c r="I229" i="73"/>
  <c r="M229" i="73" s="1"/>
  <c r="K231" i="73"/>
  <c r="M231" i="73"/>
  <c r="G232" i="73"/>
  <c r="K232" i="73" s="1"/>
  <c r="I232" i="73"/>
  <c r="M232" i="73" s="1"/>
  <c r="K234" i="73"/>
  <c r="M234" i="73"/>
  <c r="G235" i="73"/>
  <c r="K235" i="73" s="1"/>
  <c r="I235" i="73"/>
  <c r="M235" i="73" s="1"/>
  <c r="K237" i="73"/>
  <c r="M237" i="73"/>
  <c r="K238" i="73"/>
  <c r="M238" i="73"/>
  <c r="K239" i="73"/>
  <c r="M239" i="73"/>
  <c r="G240" i="73"/>
  <c r="I240" i="73"/>
  <c r="K240" i="73"/>
  <c r="M240" i="73"/>
  <c r="K242" i="73"/>
  <c r="M242" i="73"/>
  <c r="K243" i="73"/>
  <c r="M243" i="73"/>
  <c r="G244" i="73"/>
  <c r="K244" i="73" s="1"/>
  <c r="I244" i="73"/>
  <c r="M244" i="73" s="1"/>
  <c r="K246" i="73"/>
  <c r="M246" i="73"/>
  <c r="K247" i="73"/>
  <c r="M247" i="73"/>
  <c r="K248" i="73"/>
  <c r="M248" i="73"/>
  <c r="K249" i="73"/>
  <c r="M249" i="73"/>
  <c r="K250" i="73"/>
  <c r="M250" i="73"/>
  <c r="G251" i="73"/>
  <c r="I251" i="73"/>
  <c r="K251" i="73"/>
  <c r="M251" i="73"/>
  <c r="K253" i="73"/>
  <c r="M253" i="73"/>
  <c r="G254" i="73"/>
  <c r="I254" i="73"/>
  <c r="K254" i="73"/>
  <c r="M254" i="73"/>
  <c r="G255" i="73"/>
  <c r="K255" i="73" s="1"/>
  <c r="I255" i="73"/>
  <c r="M255" i="73" s="1"/>
  <c r="K259" i="73"/>
  <c r="M259" i="73"/>
  <c r="K260" i="73"/>
  <c r="M260" i="73"/>
  <c r="G261" i="73"/>
  <c r="K261" i="73" s="1"/>
  <c r="I261" i="73"/>
  <c r="M261" i="73" s="1"/>
  <c r="BQ4" i="72"/>
  <c r="BQ5" i="72"/>
  <c r="BQ6" i="72"/>
  <c r="BQ7" i="72"/>
  <c r="BQ8" i="72"/>
  <c r="BQ9" i="72"/>
  <c r="BQ10" i="72"/>
  <c r="BQ11" i="72"/>
  <c r="BQ12" i="72"/>
  <c r="BQ13" i="72"/>
  <c r="BQ14" i="72"/>
  <c r="BQ15" i="72"/>
  <c r="BQ16" i="72"/>
  <c r="BQ17" i="72"/>
  <c r="BQ18" i="72"/>
  <c r="BQ19" i="72"/>
  <c r="BQ20" i="72"/>
  <c r="BQ21" i="72"/>
  <c r="BQ22" i="72"/>
  <c r="BQ23" i="72"/>
  <c r="BQ24" i="72"/>
  <c r="BQ26" i="72"/>
  <c r="G27" i="72"/>
  <c r="G31" i="72" s="1"/>
  <c r="I27" i="72"/>
  <c r="I31" i="72" s="1"/>
  <c r="I32" i="72" s="1"/>
  <c r="I244" i="72" s="1"/>
  <c r="I250" i="72" s="1"/>
  <c r="K27" i="72"/>
  <c r="M27" i="72"/>
  <c r="O27" i="72"/>
  <c r="O31" i="72" s="1"/>
  <c r="O32" i="72" s="1"/>
  <c r="Q27" i="72"/>
  <c r="S27" i="72"/>
  <c r="U27" i="72"/>
  <c r="U31" i="72" s="1"/>
  <c r="U32" i="72" s="1"/>
  <c r="U244" i="72" s="1"/>
  <c r="U250" i="72" s="1"/>
  <c r="W27" i="72"/>
  <c r="Y27" i="72"/>
  <c r="AA27" i="72"/>
  <c r="AA31" i="72" s="1"/>
  <c r="AA32" i="72" s="1"/>
  <c r="AC27" i="72"/>
  <c r="AE27" i="72"/>
  <c r="AG27" i="72"/>
  <c r="AG31" i="72" s="1"/>
  <c r="AG32" i="72" s="1"/>
  <c r="AG244" i="72" s="1"/>
  <c r="AG250" i="72" s="1"/>
  <c r="AI27" i="72"/>
  <c r="AK27" i="72"/>
  <c r="AM27" i="72"/>
  <c r="AM31" i="72" s="1"/>
  <c r="AM32" i="72" s="1"/>
  <c r="AO27" i="72"/>
  <c r="AQ27" i="72"/>
  <c r="AS27" i="72"/>
  <c r="AS31" i="72" s="1"/>
  <c r="AS32" i="72" s="1"/>
  <c r="AS244" i="72" s="1"/>
  <c r="AS250" i="72" s="1"/>
  <c r="AU27" i="72"/>
  <c r="AW27" i="72"/>
  <c r="AY27" i="72"/>
  <c r="AY31" i="72" s="1"/>
  <c r="AY32" i="72" s="1"/>
  <c r="BA27" i="72"/>
  <c r="BC27" i="72"/>
  <c r="BE27" i="72"/>
  <c r="BE31" i="72" s="1"/>
  <c r="BE32" i="72" s="1"/>
  <c r="BE244" i="72" s="1"/>
  <c r="BE250" i="72" s="1"/>
  <c r="BG27" i="72"/>
  <c r="BI27" i="72"/>
  <c r="BK27" i="72"/>
  <c r="BK31" i="72" s="1"/>
  <c r="BK32" i="72" s="1"/>
  <c r="BM27" i="72"/>
  <c r="BO27" i="72"/>
  <c r="BQ28" i="72"/>
  <c r="BQ29" i="72"/>
  <c r="BQ30" i="72"/>
  <c r="K31" i="72"/>
  <c r="K32" i="72" s="1"/>
  <c r="K244" i="72" s="1"/>
  <c r="M31" i="72"/>
  <c r="Q31" i="72"/>
  <c r="Q32" i="72" s="1"/>
  <c r="Q244" i="72" s="1"/>
  <c r="Q250" i="72" s="1"/>
  <c r="S31" i="72"/>
  <c r="W31" i="72"/>
  <c r="W32" i="72" s="1"/>
  <c r="W244" i="72" s="1"/>
  <c r="Y31" i="72"/>
  <c r="AC31" i="72"/>
  <c r="AC32" i="72" s="1"/>
  <c r="AC244" i="72" s="1"/>
  <c r="AC250" i="72" s="1"/>
  <c r="AE31" i="72"/>
  <c r="AI31" i="72"/>
  <c r="AI32" i="72" s="1"/>
  <c r="AI244" i="72" s="1"/>
  <c r="AK31" i="72"/>
  <c r="AO31" i="72"/>
  <c r="AO32" i="72" s="1"/>
  <c r="AQ31" i="72"/>
  <c r="AU31" i="72"/>
  <c r="AU32" i="72" s="1"/>
  <c r="AU244" i="72" s="1"/>
  <c r="AW31" i="72"/>
  <c r="BA31" i="72"/>
  <c r="BA32" i="72" s="1"/>
  <c r="BC31" i="72"/>
  <c r="BG31" i="72"/>
  <c r="BG32" i="72" s="1"/>
  <c r="BG244" i="72" s="1"/>
  <c r="BI31" i="72"/>
  <c r="BM31" i="72"/>
  <c r="BM32" i="72" s="1"/>
  <c r="BO31" i="72"/>
  <c r="M32" i="72"/>
  <c r="M244" i="72" s="1"/>
  <c r="S32" i="72"/>
  <c r="Y32" i="72"/>
  <c r="Y244" i="72" s="1"/>
  <c r="AE32" i="72"/>
  <c r="AK32" i="72"/>
  <c r="AK244" i="72" s="1"/>
  <c r="AQ32" i="72"/>
  <c r="AW32" i="72"/>
  <c r="BC32" i="72"/>
  <c r="BI32" i="72"/>
  <c r="BO32" i="72"/>
  <c r="BQ34" i="72"/>
  <c r="BQ35" i="72"/>
  <c r="BQ37" i="72"/>
  <c r="BQ38" i="72"/>
  <c r="BQ39" i="72"/>
  <c r="BQ40" i="72"/>
  <c r="BQ41" i="72"/>
  <c r="BQ42" i="72"/>
  <c r="BQ43" i="72"/>
  <c r="BQ44" i="72"/>
  <c r="BQ45" i="72"/>
  <c r="BQ46" i="72"/>
  <c r="BQ47" i="72"/>
  <c r="BQ48" i="72"/>
  <c r="BQ49" i="72"/>
  <c r="BQ50" i="72"/>
  <c r="BQ51" i="72"/>
  <c r="BQ52" i="72"/>
  <c r="BQ53" i="72"/>
  <c r="BQ54" i="72"/>
  <c r="BQ55" i="72"/>
  <c r="BQ56" i="72"/>
  <c r="BQ57" i="72"/>
  <c r="BQ58" i="72"/>
  <c r="BQ59" i="72"/>
  <c r="BQ60" i="72"/>
  <c r="BQ61" i="72"/>
  <c r="BQ62" i="72"/>
  <c r="BQ63" i="72"/>
  <c r="BQ64" i="72"/>
  <c r="BQ65" i="72"/>
  <c r="BQ66" i="72"/>
  <c r="G67" i="72"/>
  <c r="I67" i="72"/>
  <c r="K67" i="72"/>
  <c r="BQ67" i="72" s="1"/>
  <c r="M67" i="72"/>
  <c r="O67" i="72"/>
  <c r="Q67" i="72"/>
  <c r="Q243" i="72" s="1"/>
  <c r="S67" i="72"/>
  <c r="U67" i="72"/>
  <c r="W67" i="72"/>
  <c r="Y67" i="72"/>
  <c r="AA67" i="72"/>
  <c r="AC67" i="72"/>
  <c r="AC243" i="72" s="1"/>
  <c r="AE67" i="72"/>
  <c r="AG67" i="72"/>
  <c r="AI67" i="72"/>
  <c r="AK67" i="72"/>
  <c r="AM67" i="72"/>
  <c r="AO67" i="72"/>
  <c r="AO243" i="72" s="1"/>
  <c r="AQ67" i="72"/>
  <c r="AS67" i="72"/>
  <c r="AU67" i="72"/>
  <c r="AW67" i="72"/>
  <c r="AY67" i="72"/>
  <c r="BA67" i="72"/>
  <c r="BA243" i="72" s="1"/>
  <c r="BC67" i="72"/>
  <c r="BE67" i="72"/>
  <c r="BG67" i="72"/>
  <c r="BI67" i="72"/>
  <c r="BK67" i="72"/>
  <c r="BM67" i="72"/>
  <c r="BM243" i="72" s="1"/>
  <c r="BO67" i="72"/>
  <c r="BQ69" i="72"/>
  <c r="G70" i="72"/>
  <c r="I70" i="72"/>
  <c r="K70" i="72"/>
  <c r="BQ70" i="72" s="1"/>
  <c r="M70" i="72"/>
  <c r="O70" i="72"/>
  <c r="Q70" i="72"/>
  <c r="S70" i="72"/>
  <c r="U70" i="72"/>
  <c r="W70" i="72"/>
  <c r="Y70" i="72"/>
  <c r="AA70" i="72"/>
  <c r="AC70" i="72"/>
  <c r="AE70" i="72"/>
  <c r="AG70" i="72"/>
  <c r="AI70" i="72"/>
  <c r="AK70" i="72"/>
  <c r="AM70" i="72"/>
  <c r="AO70" i="72"/>
  <c r="AQ70" i="72"/>
  <c r="AS70" i="72"/>
  <c r="AU70" i="72"/>
  <c r="AW70" i="72"/>
  <c r="AY70" i="72"/>
  <c r="BA70" i="72"/>
  <c r="BC70" i="72"/>
  <c r="BE70" i="72"/>
  <c r="BG70" i="72"/>
  <c r="BI70" i="72"/>
  <c r="BK70" i="72"/>
  <c r="BM70" i="72"/>
  <c r="BO70" i="72"/>
  <c r="BQ72" i="72"/>
  <c r="BQ73" i="72"/>
  <c r="BQ74" i="72"/>
  <c r="BQ75" i="72"/>
  <c r="BQ76" i="72"/>
  <c r="BQ77" i="72"/>
  <c r="BQ78" i="72"/>
  <c r="BQ79" i="72"/>
  <c r="BQ80" i="72"/>
  <c r="G81" i="72"/>
  <c r="BQ81" i="72" s="1"/>
  <c r="I81" i="72"/>
  <c r="K81" i="72"/>
  <c r="M81" i="72"/>
  <c r="M243" i="72" s="1"/>
  <c r="O81" i="72"/>
  <c r="Q81" i="72"/>
  <c r="S81" i="72"/>
  <c r="U81" i="72"/>
  <c r="W81" i="72"/>
  <c r="Y81" i="72"/>
  <c r="Y243" i="72" s="1"/>
  <c r="AA81" i="72"/>
  <c r="AC81" i="72"/>
  <c r="AE81" i="72"/>
  <c r="AG81" i="72"/>
  <c r="AI81" i="72"/>
  <c r="AK81" i="72"/>
  <c r="AK243" i="72" s="1"/>
  <c r="AM81" i="72"/>
  <c r="AO81" i="72"/>
  <c r="AQ81" i="72"/>
  <c r="AS81" i="72"/>
  <c r="AU81" i="72"/>
  <c r="AW81" i="72"/>
  <c r="AW243" i="72" s="1"/>
  <c r="AY81" i="72"/>
  <c r="BA81" i="72"/>
  <c r="BC81" i="72"/>
  <c r="BE81" i="72"/>
  <c r="BG81" i="72"/>
  <c r="BI81" i="72"/>
  <c r="BI243" i="72" s="1"/>
  <c r="BK81" i="72"/>
  <c r="BM81" i="72"/>
  <c r="BO81" i="72"/>
  <c r="BQ83" i="72"/>
  <c r="G84" i="72"/>
  <c r="G243" i="72" s="1"/>
  <c r="I84" i="72"/>
  <c r="K84" i="72"/>
  <c r="M84" i="72"/>
  <c r="O84" i="72"/>
  <c r="Q84" i="72"/>
  <c r="S84" i="72"/>
  <c r="S243" i="72" s="1"/>
  <c r="S244" i="72" s="1"/>
  <c r="U84" i="72"/>
  <c r="W84" i="72"/>
  <c r="Y84" i="72"/>
  <c r="AA84" i="72"/>
  <c r="AC84" i="72"/>
  <c r="AE84" i="72"/>
  <c r="AE243" i="72" s="1"/>
  <c r="AE244" i="72" s="1"/>
  <c r="AG84" i="72"/>
  <c r="AI84" i="72"/>
  <c r="AK84" i="72"/>
  <c r="AM84" i="72"/>
  <c r="AO84" i="72"/>
  <c r="AQ84" i="72"/>
  <c r="AQ243" i="72" s="1"/>
  <c r="AQ244" i="72" s="1"/>
  <c r="AS84" i="72"/>
  <c r="AU84" i="72"/>
  <c r="AW84" i="72"/>
  <c r="AY84" i="72"/>
  <c r="BA84" i="72"/>
  <c r="BC84" i="72"/>
  <c r="BC243" i="72" s="1"/>
  <c r="BC244" i="72" s="1"/>
  <c r="BE84" i="72"/>
  <c r="BG84" i="72"/>
  <c r="BI84" i="72"/>
  <c r="BK84" i="72"/>
  <c r="BM84" i="72"/>
  <c r="BO84" i="72"/>
  <c r="BO243" i="72" s="1"/>
  <c r="BO244" i="72" s="1"/>
  <c r="BQ86" i="72"/>
  <c r="BQ87" i="72"/>
  <c r="BQ88" i="72"/>
  <c r="BQ89" i="72"/>
  <c r="BQ90" i="72"/>
  <c r="BQ91" i="72"/>
  <c r="BQ92" i="72"/>
  <c r="G93" i="72"/>
  <c r="BQ93" i="72" s="1"/>
  <c r="I93" i="72"/>
  <c r="K93" i="72"/>
  <c r="M93" i="72"/>
  <c r="O93" i="72"/>
  <c r="Q93" i="72"/>
  <c r="S93" i="72"/>
  <c r="U93" i="72"/>
  <c r="W93" i="72"/>
  <c r="Y93" i="72"/>
  <c r="AA93" i="72"/>
  <c r="AC93" i="72"/>
  <c r="AE93" i="72"/>
  <c r="AG93" i="72"/>
  <c r="AI93" i="72"/>
  <c r="AK93" i="72"/>
  <c r="AM93" i="72"/>
  <c r="AO93" i="72"/>
  <c r="AQ93" i="72"/>
  <c r="AS93" i="72"/>
  <c r="AU93" i="72"/>
  <c r="AW93" i="72"/>
  <c r="AY93" i="72"/>
  <c r="BA93" i="72"/>
  <c r="BC93" i="72"/>
  <c r="BE93" i="72"/>
  <c r="BG93" i="72"/>
  <c r="BI93" i="72"/>
  <c r="BK93" i="72"/>
  <c r="BM93" i="72"/>
  <c r="BO93" i="72"/>
  <c r="BQ95" i="72"/>
  <c r="BQ96" i="72"/>
  <c r="G97" i="72"/>
  <c r="I97" i="72"/>
  <c r="K97" i="72"/>
  <c r="BQ97" i="72" s="1"/>
  <c r="M97" i="72"/>
  <c r="O97" i="72"/>
  <c r="Q97" i="72"/>
  <c r="S97" i="72"/>
  <c r="U97" i="72"/>
  <c r="W97" i="72"/>
  <c r="Y97" i="72"/>
  <c r="AA97" i="72"/>
  <c r="AC97" i="72"/>
  <c r="AE97" i="72"/>
  <c r="AG97" i="72"/>
  <c r="AI97" i="72"/>
  <c r="AK97" i="72"/>
  <c r="AM97" i="72"/>
  <c r="AO97" i="72"/>
  <c r="AQ97" i="72"/>
  <c r="AS97" i="72"/>
  <c r="AU97" i="72"/>
  <c r="AW97" i="72"/>
  <c r="AY97" i="72"/>
  <c r="BA97" i="72"/>
  <c r="BC97" i="72"/>
  <c r="BE97" i="72"/>
  <c r="BG97" i="72"/>
  <c r="BI97" i="72"/>
  <c r="BK97" i="72"/>
  <c r="BM97" i="72"/>
  <c r="BO97" i="72"/>
  <c r="BQ99" i="72"/>
  <c r="BQ100" i="72"/>
  <c r="BQ101" i="72"/>
  <c r="BQ102" i="72"/>
  <c r="G103" i="72"/>
  <c r="I103" i="72"/>
  <c r="K103" i="72"/>
  <c r="BQ103" i="72" s="1"/>
  <c r="M103" i="72"/>
  <c r="O103" i="72"/>
  <c r="Q103" i="72"/>
  <c r="S103" i="72"/>
  <c r="U103" i="72"/>
  <c r="W103" i="72"/>
  <c r="Y103" i="72"/>
  <c r="AA103" i="72"/>
  <c r="AC103" i="72"/>
  <c r="AE103" i="72"/>
  <c r="AG103" i="72"/>
  <c r="AI103" i="72"/>
  <c r="AK103" i="72"/>
  <c r="AM103" i="72"/>
  <c r="AO103" i="72"/>
  <c r="AQ103" i="72"/>
  <c r="AS103" i="72"/>
  <c r="AU103" i="72"/>
  <c r="AW103" i="72"/>
  <c r="AY103" i="72"/>
  <c r="BA103" i="72"/>
  <c r="BC103" i="72"/>
  <c r="BE103" i="72"/>
  <c r="BG103" i="72"/>
  <c r="BI103" i="72"/>
  <c r="BK103" i="72"/>
  <c r="BM103" i="72"/>
  <c r="BO103" i="72"/>
  <c r="BQ105" i="72"/>
  <c r="BQ106" i="72"/>
  <c r="BQ107" i="72"/>
  <c r="BQ108" i="72"/>
  <c r="BQ109" i="72"/>
  <c r="G110" i="72"/>
  <c r="I110" i="72"/>
  <c r="K110" i="72"/>
  <c r="M110" i="72"/>
  <c r="O110" i="72"/>
  <c r="O243" i="72" s="1"/>
  <c r="Q110" i="72"/>
  <c r="S110" i="72"/>
  <c r="U110" i="72"/>
  <c r="W110" i="72"/>
  <c r="Y110" i="72"/>
  <c r="AA110" i="72"/>
  <c r="AA243" i="72" s="1"/>
  <c r="AC110" i="72"/>
  <c r="AE110" i="72"/>
  <c r="AG110" i="72"/>
  <c r="AI110" i="72"/>
  <c r="AK110" i="72"/>
  <c r="AM110" i="72"/>
  <c r="AM243" i="72" s="1"/>
  <c r="AO110" i="72"/>
  <c r="AQ110" i="72"/>
  <c r="AS110" i="72"/>
  <c r="AU110" i="72"/>
  <c r="AW110" i="72"/>
  <c r="AY110" i="72"/>
  <c r="AY243" i="72" s="1"/>
  <c r="BA110" i="72"/>
  <c r="BC110" i="72"/>
  <c r="BE110" i="72"/>
  <c r="BG110" i="72"/>
  <c r="BI110" i="72"/>
  <c r="BK110" i="72"/>
  <c r="BK243" i="72" s="1"/>
  <c r="BM110" i="72"/>
  <c r="BO110" i="72"/>
  <c r="BQ112" i="72"/>
  <c r="BQ113" i="72"/>
  <c r="G114" i="72"/>
  <c r="BQ114" i="72" s="1"/>
  <c r="I114" i="72"/>
  <c r="K114" i="72"/>
  <c r="M114" i="72"/>
  <c r="O114" i="72"/>
  <c r="Q114" i="72"/>
  <c r="S114" i="72"/>
  <c r="U114" i="72"/>
  <c r="W114" i="72"/>
  <c r="Y114" i="72"/>
  <c r="AA114" i="72"/>
  <c r="AC114" i="72"/>
  <c r="AE114" i="72"/>
  <c r="AG114" i="72"/>
  <c r="AI114" i="72"/>
  <c r="AK114" i="72"/>
  <c r="AM114" i="72"/>
  <c r="AO114" i="72"/>
  <c r="AQ114" i="72"/>
  <c r="AS114" i="72"/>
  <c r="AU114" i="72"/>
  <c r="AW114" i="72"/>
  <c r="AY114" i="72"/>
  <c r="BA114" i="72"/>
  <c r="BC114" i="72"/>
  <c r="BE114" i="72"/>
  <c r="BG114" i="72"/>
  <c r="BI114" i="72"/>
  <c r="BK114" i="72"/>
  <c r="BM114" i="72"/>
  <c r="BO114" i="72"/>
  <c r="BQ116" i="72"/>
  <c r="BQ117" i="72"/>
  <c r="BQ118" i="72"/>
  <c r="BQ119" i="72"/>
  <c r="BQ120" i="72"/>
  <c r="BQ121" i="72"/>
  <c r="BQ122" i="72"/>
  <c r="BQ123" i="72"/>
  <c r="BQ124" i="72"/>
  <c r="BQ125" i="72"/>
  <c r="BQ126" i="72"/>
  <c r="BQ127" i="72"/>
  <c r="BQ128" i="72"/>
  <c r="BQ129" i="72"/>
  <c r="G130" i="72"/>
  <c r="I130" i="72"/>
  <c r="K130" i="72"/>
  <c r="BQ130" i="72" s="1"/>
  <c r="M130" i="72"/>
  <c r="O130" i="72"/>
  <c r="Q130" i="72"/>
  <c r="S130" i="72"/>
  <c r="U130" i="72"/>
  <c r="W130" i="72"/>
  <c r="Y130" i="72"/>
  <c r="AA130" i="72"/>
  <c r="AC130" i="72"/>
  <c r="AE130" i="72"/>
  <c r="AG130" i="72"/>
  <c r="AI130" i="72"/>
  <c r="AK130" i="72"/>
  <c r="AM130" i="72"/>
  <c r="AO130" i="72"/>
  <c r="AQ130" i="72"/>
  <c r="AS130" i="72"/>
  <c r="AU130" i="72"/>
  <c r="AW130" i="72"/>
  <c r="AY130" i="72"/>
  <c r="BA130" i="72"/>
  <c r="BC130" i="72"/>
  <c r="BE130" i="72"/>
  <c r="BG130" i="72"/>
  <c r="BI130" i="72"/>
  <c r="BK130" i="72"/>
  <c r="BM130" i="72"/>
  <c r="BO130" i="72"/>
  <c r="BQ132" i="72"/>
  <c r="BQ133" i="72"/>
  <c r="BQ134" i="72"/>
  <c r="BQ135" i="72"/>
  <c r="BQ136" i="72"/>
  <c r="BQ137" i="72"/>
  <c r="G138" i="72"/>
  <c r="BQ138" i="72" s="1"/>
  <c r="I138" i="72"/>
  <c r="K138" i="72"/>
  <c r="M138" i="72"/>
  <c r="O138" i="72"/>
  <c r="Q138" i="72"/>
  <c r="S138" i="72"/>
  <c r="U138" i="72"/>
  <c r="W138" i="72"/>
  <c r="Y138" i="72"/>
  <c r="AA138" i="72"/>
  <c r="AC138" i="72"/>
  <c r="AE138" i="72"/>
  <c r="AG138" i="72"/>
  <c r="AI138" i="72"/>
  <c r="AK138" i="72"/>
  <c r="AM138" i="72"/>
  <c r="AO138" i="72"/>
  <c r="AQ138" i="72"/>
  <c r="AS138" i="72"/>
  <c r="AU138" i="72"/>
  <c r="AW138" i="72"/>
  <c r="AY138" i="72"/>
  <c r="BA138" i="72"/>
  <c r="BC138" i="72"/>
  <c r="BE138" i="72"/>
  <c r="BG138" i="72"/>
  <c r="BI138" i="72"/>
  <c r="BK138" i="72"/>
  <c r="BM138" i="72"/>
  <c r="BO138" i="72"/>
  <c r="BQ140" i="72"/>
  <c r="G141" i="72"/>
  <c r="BQ141" i="72" s="1"/>
  <c r="I141" i="72"/>
  <c r="K141" i="72"/>
  <c r="M141" i="72"/>
  <c r="O141" i="72"/>
  <c r="Q141" i="72"/>
  <c r="S141" i="72"/>
  <c r="U141" i="72"/>
  <c r="W141" i="72"/>
  <c r="Y141" i="72"/>
  <c r="AA141" i="72"/>
  <c r="AC141" i="72"/>
  <c r="AE141" i="72"/>
  <c r="AG141" i="72"/>
  <c r="AI141" i="72"/>
  <c r="AK141" i="72"/>
  <c r="AM141" i="72"/>
  <c r="AO141" i="72"/>
  <c r="AQ141" i="72"/>
  <c r="AS141" i="72"/>
  <c r="AU141" i="72"/>
  <c r="AW141" i="72"/>
  <c r="AY141" i="72"/>
  <c r="BA141" i="72"/>
  <c r="BC141" i="72"/>
  <c r="BE141" i="72"/>
  <c r="BG141" i="72"/>
  <c r="BI141" i="72"/>
  <c r="BK141" i="72"/>
  <c r="BM141" i="72"/>
  <c r="BO141" i="72"/>
  <c r="BQ143" i="72"/>
  <c r="G144" i="72"/>
  <c r="BQ144" i="72" s="1"/>
  <c r="I144" i="72"/>
  <c r="K144" i="72"/>
  <c r="M144" i="72"/>
  <c r="O144" i="72"/>
  <c r="Q144" i="72"/>
  <c r="S144" i="72"/>
  <c r="U144" i="72"/>
  <c r="W144" i="72"/>
  <c r="Y144" i="72"/>
  <c r="AA144" i="72"/>
  <c r="AC144" i="72"/>
  <c r="AE144" i="72"/>
  <c r="AG144" i="72"/>
  <c r="AI144" i="72"/>
  <c r="AK144" i="72"/>
  <c r="AM144" i="72"/>
  <c r="AO144" i="72"/>
  <c r="AQ144" i="72"/>
  <c r="AS144" i="72"/>
  <c r="AU144" i="72"/>
  <c r="AW144" i="72"/>
  <c r="AY144" i="72"/>
  <c r="BA144" i="72"/>
  <c r="BC144" i="72"/>
  <c r="BE144" i="72"/>
  <c r="BG144" i="72"/>
  <c r="BI144" i="72"/>
  <c r="BK144" i="72"/>
  <c r="BM144" i="72"/>
  <c r="BO144" i="72"/>
  <c r="BQ146" i="72"/>
  <c r="BQ147" i="72"/>
  <c r="G148" i="72"/>
  <c r="I148" i="72"/>
  <c r="K148" i="72"/>
  <c r="BQ148" i="72" s="1"/>
  <c r="M148" i="72"/>
  <c r="O148" i="72"/>
  <c r="Q148" i="72"/>
  <c r="S148" i="72"/>
  <c r="U148" i="72"/>
  <c r="W148" i="72"/>
  <c r="Y148" i="72"/>
  <c r="AA148" i="72"/>
  <c r="AC148" i="72"/>
  <c r="AE148" i="72"/>
  <c r="AG148" i="72"/>
  <c r="AI148" i="72"/>
  <c r="AK148" i="72"/>
  <c r="AM148" i="72"/>
  <c r="AO148" i="72"/>
  <c r="AQ148" i="72"/>
  <c r="AS148" i="72"/>
  <c r="AU148" i="72"/>
  <c r="AW148" i="72"/>
  <c r="AY148" i="72"/>
  <c r="BA148" i="72"/>
  <c r="BC148" i="72"/>
  <c r="BE148" i="72"/>
  <c r="BG148" i="72"/>
  <c r="BI148" i="72"/>
  <c r="BK148" i="72"/>
  <c r="BM148" i="72"/>
  <c r="BO148" i="72"/>
  <c r="BQ150" i="72"/>
  <c r="G151" i="72"/>
  <c r="I151" i="72"/>
  <c r="K151" i="72"/>
  <c r="BQ151" i="72" s="1"/>
  <c r="M151" i="72"/>
  <c r="O151" i="72"/>
  <c r="Q151" i="72"/>
  <c r="S151" i="72"/>
  <c r="U151" i="72"/>
  <c r="W151" i="72"/>
  <c r="Y151" i="72"/>
  <c r="AA151" i="72"/>
  <c r="AC151" i="72"/>
  <c r="AE151" i="72"/>
  <c r="AG151" i="72"/>
  <c r="AI151" i="72"/>
  <c r="AK151" i="72"/>
  <c r="AM151" i="72"/>
  <c r="AO151" i="72"/>
  <c r="AQ151" i="72"/>
  <c r="AS151" i="72"/>
  <c r="AU151" i="72"/>
  <c r="AW151" i="72"/>
  <c r="AY151" i="72"/>
  <c r="BA151" i="72"/>
  <c r="BC151" i="72"/>
  <c r="BE151" i="72"/>
  <c r="BG151" i="72"/>
  <c r="BI151" i="72"/>
  <c r="BK151" i="72"/>
  <c r="BM151" i="72"/>
  <c r="BO151" i="72"/>
  <c r="BQ153" i="72"/>
  <c r="G154" i="72"/>
  <c r="I154" i="72"/>
  <c r="K154" i="72"/>
  <c r="BQ154" i="72" s="1"/>
  <c r="M154" i="72"/>
  <c r="O154" i="72"/>
  <c r="Q154" i="72"/>
  <c r="S154" i="72"/>
  <c r="U154" i="72"/>
  <c r="W154" i="72"/>
  <c r="Y154" i="72"/>
  <c r="AA154" i="72"/>
  <c r="AC154" i="72"/>
  <c r="AE154" i="72"/>
  <c r="AG154" i="72"/>
  <c r="AI154" i="72"/>
  <c r="AK154" i="72"/>
  <c r="AM154" i="72"/>
  <c r="AO154" i="72"/>
  <c r="AQ154" i="72"/>
  <c r="AS154" i="72"/>
  <c r="AU154" i="72"/>
  <c r="AW154" i="72"/>
  <c r="AY154" i="72"/>
  <c r="BA154" i="72"/>
  <c r="BC154" i="72"/>
  <c r="BE154" i="72"/>
  <c r="BG154" i="72"/>
  <c r="BI154" i="72"/>
  <c r="BK154" i="72"/>
  <c r="BM154" i="72"/>
  <c r="BO154" i="72"/>
  <c r="BQ156" i="72"/>
  <c r="BQ157" i="72"/>
  <c r="BQ158" i="72"/>
  <c r="BQ159" i="72"/>
  <c r="G160" i="72"/>
  <c r="I160" i="72"/>
  <c r="K160" i="72"/>
  <c r="BQ160" i="72" s="1"/>
  <c r="M160" i="72"/>
  <c r="O160" i="72"/>
  <c r="Q160" i="72"/>
  <c r="S160" i="72"/>
  <c r="U160" i="72"/>
  <c r="W160" i="72"/>
  <c r="Y160" i="72"/>
  <c r="AA160" i="72"/>
  <c r="AC160" i="72"/>
  <c r="AE160" i="72"/>
  <c r="AG160" i="72"/>
  <c r="AI160" i="72"/>
  <c r="AK160" i="72"/>
  <c r="AM160" i="72"/>
  <c r="AO160" i="72"/>
  <c r="AQ160" i="72"/>
  <c r="AS160" i="72"/>
  <c r="AU160" i="72"/>
  <c r="AW160" i="72"/>
  <c r="AY160" i="72"/>
  <c r="BA160" i="72"/>
  <c r="BC160" i="72"/>
  <c r="BE160" i="72"/>
  <c r="BG160" i="72"/>
  <c r="BI160" i="72"/>
  <c r="BK160" i="72"/>
  <c r="BM160" i="72"/>
  <c r="BO160" i="72"/>
  <c r="BQ162" i="72"/>
  <c r="BQ163" i="72"/>
  <c r="BQ164" i="72"/>
  <c r="BQ165" i="72"/>
  <c r="BQ166" i="72"/>
  <c r="BQ167" i="72"/>
  <c r="BQ168" i="72"/>
  <c r="BQ169" i="72"/>
  <c r="BQ170" i="72"/>
  <c r="BQ171" i="72"/>
  <c r="BQ172" i="72"/>
  <c r="BQ173" i="72"/>
  <c r="BQ174" i="72"/>
  <c r="BQ175" i="72"/>
  <c r="G176" i="72"/>
  <c r="I176" i="72"/>
  <c r="K176" i="72"/>
  <c r="M176" i="72"/>
  <c r="O176" i="72"/>
  <c r="BQ176" i="72" s="1"/>
  <c r="Q176" i="72"/>
  <c r="S176" i="72"/>
  <c r="U176" i="72"/>
  <c r="W176" i="72"/>
  <c r="Y176" i="72"/>
  <c r="AA176" i="72"/>
  <c r="AC176" i="72"/>
  <c r="AE176" i="72"/>
  <c r="AG176" i="72"/>
  <c r="AI176" i="72"/>
  <c r="AK176" i="72"/>
  <c r="AM176" i="72"/>
  <c r="AO176" i="72"/>
  <c r="AQ176" i="72"/>
  <c r="AS176" i="72"/>
  <c r="AU176" i="72"/>
  <c r="AW176" i="72"/>
  <c r="AY176" i="72"/>
  <c r="BA176" i="72"/>
  <c r="BC176" i="72"/>
  <c r="BE176" i="72"/>
  <c r="BG176" i="72"/>
  <c r="BI176" i="72"/>
  <c r="BK176" i="72"/>
  <c r="BM176" i="72"/>
  <c r="BO176" i="72"/>
  <c r="BQ178" i="72"/>
  <c r="G179" i="72"/>
  <c r="I179" i="72"/>
  <c r="I243" i="72" s="1"/>
  <c r="K179" i="72"/>
  <c r="M179" i="72"/>
  <c r="O179" i="72"/>
  <c r="Q179" i="72"/>
  <c r="S179" i="72"/>
  <c r="U179" i="72"/>
  <c r="U243" i="72" s="1"/>
  <c r="W179" i="72"/>
  <c r="Y179" i="72"/>
  <c r="AA179" i="72"/>
  <c r="AC179" i="72"/>
  <c r="AE179" i="72"/>
  <c r="AG179" i="72"/>
  <c r="AG243" i="72" s="1"/>
  <c r="AI179" i="72"/>
  <c r="AK179" i="72"/>
  <c r="AM179" i="72"/>
  <c r="AO179" i="72"/>
  <c r="AQ179" i="72"/>
  <c r="AS179" i="72"/>
  <c r="AS243" i="72" s="1"/>
  <c r="AU179" i="72"/>
  <c r="AW179" i="72"/>
  <c r="AY179" i="72"/>
  <c r="BA179" i="72"/>
  <c r="BC179" i="72"/>
  <c r="BE179" i="72"/>
  <c r="BE243" i="72" s="1"/>
  <c r="BG179" i="72"/>
  <c r="BI179" i="72"/>
  <c r="BK179" i="72"/>
  <c r="BM179" i="72"/>
  <c r="BO179" i="72"/>
  <c r="BQ181" i="72"/>
  <c r="BQ182" i="72"/>
  <c r="G183" i="72"/>
  <c r="BQ183" i="72" s="1"/>
  <c r="I183" i="72"/>
  <c r="K183" i="72"/>
  <c r="M183" i="72"/>
  <c r="O183" i="72"/>
  <c r="Q183" i="72"/>
  <c r="S183" i="72"/>
  <c r="U183" i="72"/>
  <c r="W183" i="72"/>
  <c r="Y183" i="72"/>
  <c r="AA183" i="72"/>
  <c r="AC183" i="72"/>
  <c r="AE183" i="72"/>
  <c r="AG183" i="72"/>
  <c r="AI183" i="72"/>
  <c r="AK183" i="72"/>
  <c r="AM183" i="72"/>
  <c r="AO183" i="72"/>
  <c r="AQ183" i="72"/>
  <c r="AS183" i="72"/>
  <c r="AU183" i="72"/>
  <c r="AW183" i="72"/>
  <c r="AY183" i="72"/>
  <c r="BA183" i="72"/>
  <c r="BC183" i="72"/>
  <c r="BE183" i="72"/>
  <c r="BG183" i="72"/>
  <c r="BI183" i="72"/>
  <c r="BK183" i="72"/>
  <c r="BM183" i="72"/>
  <c r="BO183" i="72"/>
  <c r="BQ185" i="72"/>
  <c r="G186" i="72"/>
  <c r="BQ186" i="72" s="1"/>
  <c r="I186" i="72"/>
  <c r="K186" i="72"/>
  <c r="M186" i="72"/>
  <c r="O186" i="72"/>
  <c r="Q186" i="72"/>
  <c r="S186" i="72"/>
  <c r="U186" i="72"/>
  <c r="W186" i="72"/>
  <c r="Y186" i="72"/>
  <c r="AA186" i="72"/>
  <c r="AC186" i="72"/>
  <c r="AE186" i="72"/>
  <c r="AG186" i="72"/>
  <c r="AI186" i="72"/>
  <c r="AK186" i="72"/>
  <c r="AM186" i="72"/>
  <c r="AO186" i="72"/>
  <c r="AQ186" i="72"/>
  <c r="AS186" i="72"/>
  <c r="AU186" i="72"/>
  <c r="AW186" i="72"/>
  <c r="AY186" i="72"/>
  <c r="BA186" i="72"/>
  <c r="BC186" i="72"/>
  <c r="BE186" i="72"/>
  <c r="BG186" i="72"/>
  <c r="BI186" i="72"/>
  <c r="BK186" i="72"/>
  <c r="BM186" i="72"/>
  <c r="BO186" i="72"/>
  <c r="BQ188" i="72"/>
  <c r="BQ189" i="72"/>
  <c r="BQ190" i="72"/>
  <c r="BQ191" i="72"/>
  <c r="BQ192" i="72"/>
  <c r="G193" i="72"/>
  <c r="I193" i="72"/>
  <c r="K193" i="72"/>
  <c r="BQ193" i="72" s="1"/>
  <c r="M193" i="72"/>
  <c r="O193" i="72"/>
  <c r="Q193" i="72"/>
  <c r="S193" i="72"/>
  <c r="U193" i="72"/>
  <c r="W193" i="72"/>
  <c r="Y193" i="72"/>
  <c r="AA193" i="72"/>
  <c r="AC193" i="72"/>
  <c r="AE193" i="72"/>
  <c r="AG193" i="72"/>
  <c r="AI193" i="72"/>
  <c r="AK193" i="72"/>
  <c r="AM193" i="72"/>
  <c r="AO193" i="72"/>
  <c r="AQ193" i="72"/>
  <c r="AS193" i="72"/>
  <c r="AU193" i="72"/>
  <c r="AW193" i="72"/>
  <c r="AY193" i="72"/>
  <c r="BA193" i="72"/>
  <c r="BC193" i="72"/>
  <c r="BE193" i="72"/>
  <c r="BG193" i="72"/>
  <c r="BI193" i="72"/>
  <c r="BK193" i="72"/>
  <c r="BM193" i="72"/>
  <c r="BO193" i="72"/>
  <c r="BQ195" i="72"/>
  <c r="G196" i="72"/>
  <c r="I196" i="72"/>
  <c r="K196" i="72"/>
  <c r="BQ196" i="72" s="1"/>
  <c r="M196" i="72"/>
  <c r="O196" i="72"/>
  <c r="Q196" i="72"/>
  <c r="S196" i="72"/>
  <c r="U196" i="72"/>
  <c r="W196" i="72"/>
  <c r="Y196" i="72"/>
  <c r="AA196" i="72"/>
  <c r="AC196" i="72"/>
  <c r="AE196" i="72"/>
  <c r="AG196" i="72"/>
  <c r="AI196" i="72"/>
  <c r="AK196" i="72"/>
  <c r="AM196" i="72"/>
  <c r="AO196" i="72"/>
  <c r="AQ196" i="72"/>
  <c r="AS196" i="72"/>
  <c r="AU196" i="72"/>
  <c r="AW196" i="72"/>
  <c r="AY196" i="72"/>
  <c r="BA196" i="72"/>
  <c r="BC196" i="72"/>
  <c r="BE196" i="72"/>
  <c r="BG196" i="72"/>
  <c r="BI196" i="72"/>
  <c r="BK196" i="72"/>
  <c r="BM196" i="72"/>
  <c r="BO196" i="72"/>
  <c r="BQ198" i="72"/>
  <c r="BQ199" i="72"/>
  <c r="BQ200" i="72"/>
  <c r="BQ201" i="72"/>
  <c r="BQ202" i="72"/>
  <c r="BQ203" i="72"/>
  <c r="BQ204" i="72"/>
  <c r="BQ205" i="72"/>
  <c r="BQ206" i="72"/>
  <c r="G207" i="72"/>
  <c r="BQ207" i="72" s="1"/>
  <c r="I207" i="72"/>
  <c r="K207" i="72"/>
  <c r="M207" i="72"/>
  <c r="O207" i="72"/>
  <c r="Q207" i="72"/>
  <c r="S207" i="72"/>
  <c r="U207" i="72"/>
  <c r="W207" i="72"/>
  <c r="Y207" i="72"/>
  <c r="AA207" i="72"/>
  <c r="AC207" i="72"/>
  <c r="AE207" i="72"/>
  <c r="AG207" i="72"/>
  <c r="AI207" i="72"/>
  <c r="AK207" i="72"/>
  <c r="AM207" i="72"/>
  <c r="AO207" i="72"/>
  <c r="AQ207" i="72"/>
  <c r="AS207" i="72"/>
  <c r="AU207" i="72"/>
  <c r="AW207" i="72"/>
  <c r="AY207" i="72"/>
  <c r="BA207" i="72"/>
  <c r="BC207" i="72"/>
  <c r="BE207" i="72"/>
  <c r="BG207" i="72"/>
  <c r="BI207" i="72"/>
  <c r="BK207" i="72"/>
  <c r="BM207" i="72"/>
  <c r="BO207" i="72"/>
  <c r="BQ209" i="72"/>
  <c r="BQ210" i="72"/>
  <c r="BQ211" i="72"/>
  <c r="BQ212" i="72"/>
  <c r="BQ213" i="72"/>
  <c r="BQ214" i="72"/>
  <c r="BQ215" i="72"/>
  <c r="BQ216" i="72"/>
  <c r="G217" i="72"/>
  <c r="I217" i="72"/>
  <c r="K217" i="72"/>
  <c r="BQ217" i="72" s="1"/>
  <c r="M217" i="72"/>
  <c r="O217" i="72"/>
  <c r="Q217" i="72"/>
  <c r="S217" i="72"/>
  <c r="U217" i="72"/>
  <c r="W217" i="72"/>
  <c r="Y217" i="72"/>
  <c r="AA217" i="72"/>
  <c r="AC217" i="72"/>
  <c r="AE217" i="72"/>
  <c r="AG217" i="72"/>
  <c r="AI217" i="72"/>
  <c r="AK217" i="72"/>
  <c r="AM217" i="72"/>
  <c r="AO217" i="72"/>
  <c r="AQ217" i="72"/>
  <c r="AS217" i="72"/>
  <c r="AU217" i="72"/>
  <c r="AW217" i="72"/>
  <c r="AY217" i="72"/>
  <c r="BA217" i="72"/>
  <c r="BC217" i="72"/>
  <c r="BE217" i="72"/>
  <c r="BG217" i="72"/>
  <c r="BI217" i="72"/>
  <c r="BK217" i="72"/>
  <c r="BM217" i="72"/>
  <c r="BO217" i="72"/>
  <c r="BQ219" i="72"/>
  <c r="G220" i="72"/>
  <c r="I220" i="72"/>
  <c r="K220" i="72"/>
  <c r="BQ220" i="72" s="1"/>
  <c r="M220" i="72"/>
  <c r="O220" i="72"/>
  <c r="Q220" i="72"/>
  <c r="S220" i="72"/>
  <c r="U220" i="72"/>
  <c r="W220" i="72"/>
  <c r="Y220" i="72"/>
  <c r="AA220" i="72"/>
  <c r="AC220" i="72"/>
  <c r="AE220" i="72"/>
  <c r="AG220" i="72"/>
  <c r="AI220" i="72"/>
  <c r="AK220" i="72"/>
  <c r="AM220" i="72"/>
  <c r="AO220" i="72"/>
  <c r="AQ220" i="72"/>
  <c r="AS220" i="72"/>
  <c r="AU220" i="72"/>
  <c r="AW220" i="72"/>
  <c r="AY220" i="72"/>
  <c r="BA220" i="72"/>
  <c r="BC220" i="72"/>
  <c r="BE220" i="72"/>
  <c r="BG220" i="72"/>
  <c r="BI220" i="72"/>
  <c r="BK220" i="72"/>
  <c r="BM220" i="72"/>
  <c r="BO220" i="72"/>
  <c r="BQ222" i="72"/>
  <c r="G223" i="72"/>
  <c r="I223" i="72"/>
  <c r="K223" i="72"/>
  <c r="BQ223" i="72" s="1"/>
  <c r="M223" i="72"/>
  <c r="O223" i="72"/>
  <c r="Q223" i="72"/>
  <c r="S223" i="72"/>
  <c r="U223" i="72"/>
  <c r="W223" i="72"/>
  <c r="Y223" i="72"/>
  <c r="AA223" i="72"/>
  <c r="AC223" i="72"/>
  <c r="AE223" i="72"/>
  <c r="AG223" i="72"/>
  <c r="AI223" i="72"/>
  <c r="AK223" i="72"/>
  <c r="AM223" i="72"/>
  <c r="AO223" i="72"/>
  <c r="AQ223" i="72"/>
  <c r="AS223" i="72"/>
  <c r="AU223" i="72"/>
  <c r="AW223" i="72"/>
  <c r="AY223" i="72"/>
  <c r="BA223" i="72"/>
  <c r="BC223" i="72"/>
  <c r="BE223" i="72"/>
  <c r="BG223" i="72"/>
  <c r="BI223" i="72"/>
  <c r="BK223" i="72"/>
  <c r="BM223" i="72"/>
  <c r="BO223" i="72"/>
  <c r="BQ225" i="72"/>
  <c r="BQ226" i="72"/>
  <c r="BQ227" i="72"/>
  <c r="G228" i="72"/>
  <c r="BQ228" i="72" s="1"/>
  <c r="I228" i="72"/>
  <c r="K228" i="72"/>
  <c r="M228" i="72"/>
  <c r="O228" i="72"/>
  <c r="Q228" i="72"/>
  <c r="S228" i="72"/>
  <c r="U228" i="72"/>
  <c r="W228" i="72"/>
  <c r="Y228" i="72"/>
  <c r="AA228" i="72"/>
  <c r="AC228" i="72"/>
  <c r="AE228" i="72"/>
  <c r="AG228" i="72"/>
  <c r="AI228" i="72"/>
  <c r="AK228" i="72"/>
  <c r="AM228" i="72"/>
  <c r="AO228" i="72"/>
  <c r="AQ228" i="72"/>
  <c r="AS228" i="72"/>
  <c r="AU228" i="72"/>
  <c r="AW228" i="72"/>
  <c r="AY228" i="72"/>
  <c r="BA228" i="72"/>
  <c r="BC228" i="72"/>
  <c r="BE228" i="72"/>
  <c r="BG228" i="72"/>
  <c r="BI228" i="72"/>
  <c r="BK228" i="72"/>
  <c r="BM228" i="72"/>
  <c r="BO228" i="72"/>
  <c r="BQ230" i="72"/>
  <c r="BQ231" i="72"/>
  <c r="G232" i="72"/>
  <c r="I232" i="72"/>
  <c r="K232" i="72"/>
  <c r="BQ232" i="72" s="1"/>
  <c r="M232" i="72"/>
  <c r="O232" i="72"/>
  <c r="Q232" i="72"/>
  <c r="S232" i="72"/>
  <c r="U232" i="72"/>
  <c r="W232" i="72"/>
  <c r="Y232" i="72"/>
  <c r="AA232" i="72"/>
  <c r="AC232" i="72"/>
  <c r="AE232" i="72"/>
  <c r="AG232" i="72"/>
  <c r="AI232" i="72"/>
  <c r="AK232" i="72"/>
  <c r="AM232" i="72"/>
  <c r="AO232" i="72"/>
  <c r="AQ232" i="72"/>
  <c r="AS232" i="72"/>
  <c r="AU232" i="72"/>
  <c r="AW232" i="72"/>
  <c r="AY232" i="72"/>
  <c r="BA232" i="72"/>
  <c r="BC232" i="72"/>
  <c r="BE232" i="72"/>
  <c r="BG232" i="72"/>
  <c r="BI232" i="72"/>
  <c r="BK232" i="72"/>
  <c r="BM232" i="72"/>
  <c r="BO232" i="72"/>
  <c r="BQ234" i="72"/>
  <c r="BQ235" i="72"/>
  <c r="BQ236" i="72"/>
  <c r="BQ237" i="72"/>
  <c r="BQ238" i="72"/>
  <c r="G239" i="72"/>
  <c r="I239" i="72"/>
  <c r="K239" i="72"/>
  <c r="M239" i="72"/>
  <c r="O239" i="72"/>
  <c r="Q239" i="72"/>
  <c r="S239" i="72"/>
  <c r="U239" i="72"/>
  <c r="W239" i="72"/>
  <c r="Y239" i="72"/>
  <c r="AA239" i="72"/>
  <c r="AC239" i="72"/>
  <c r="AE239" i="72"/>
  <c r="AG239" i="72"/>
  <c r="AI239" i="72"/>
  <c r="AK239" i="72"/>
  <c r="AM239" i="72"/>
  <c r="AO239" i="72"/>
  <c r="AQ239" i="72"/>
  <c r="AS239" i="72"/>
  <c r="AU239" i="72"/>
  <c r="AW239" i="72"/>
  <c r="AY239" i="72"/>
  <c r="BA239" i="72"/>
  <c r="BC239" i="72"/>
  <c r="BE239" i="72"/>
  <c r="BG239" i="72"/>
  <c r="BI239" i="72"/>
  <c r="BK239" i="72"/>
  <c r="BM239" i="72"/>
  <c r="BO239" i="72"/>
  <c r="BQ239" i="72"/>
  <c r="BQ241" i="72"/>
  <c r="G242" i="72"/>
  <c r="I242" i="72"/>
  <c r="K242" i="72"/>
  <c r="M242" i="72"/>
  <c r="O242" i="72"/>
  <c r="BQ242" i="72" s="1"/>
  <c r="Q242" i="72"/>
  <c r="S242" i="72"/>
  <c r="U242" i="72"/>
  <c r="W242" i="72"/>
  <c r="Y242" i="72"/>
  <c r="AA242" i="72"/>
  <c r="AC242" i="72"/>
  <c r="AE242" i="72"/>
  <c r="AG242" i="72"/>
  <c r="AI242" i="72"/>
  <c r="AK242" i="72"/>
  <c r="AM242" i="72"/>
  <c r="AO242" i="72"/>
  <c r="AQ242" i="72"/>
  <c r="AS242" i="72"/>
  <c r="AU242" i="72"/>
  <c r="AW242" i="72"/>
  <c r="AY242" i="72"/>
  <c r="BA242" i="72"/>
  <c r="BC242" i="72"/>
  <c r="BE242" i="72"/>
  <c r="BG242" i="72"/>
  <c r="BI242" i="72"/>
  <c r="BK242" i="72"/>
  <c r="BM242" i="72"/>
  <c r="BO242" i="72"/>
  <c r="K243" i="72"/>
  <c r="W243" i="72"/>
  <c r="AI243" i="72"/>
  <c r="AU243" i="72"/>
  <c r="BG243" i="72"/>
  <c r="BQ247" i="72"/>
  <c r="G248" i="72"/>
  <c r="BQ248" i="72" s="1"/>
  <c r="I248" i="72"/>
  <c r="K248" i="72"/>
  <c r="K249" i="72" s="1"/>
  <c r="M248" i="72"/>
  <c r="M249" i="72" s="1"/>
  <c r="O248" i="72"/>
  <c r="Q248" i="72"/>
  <c r="S248" i="72"/>
  <c r="S249" i="72" s="1"/>
  <c r="U248" i="72"/>
  <c r="W248" i="72"/>
  <c r="W249" i="72" s="1"/>
  <c r="Y248" i="72"/>
  <c r="Y249" i="72" s="1"/>
  <c r="AA248" i="72"/>
  <c r="AC248" i="72"/>
  <c r="AE248" i="72"/>
  <c r="AE249" i="72" s="1"/>
  <c r="AG248" i="72"/>
  <c r="AI248" i="72"/>
  <c r="AI249" i="72" s="1"/>
  <c r="AK248" i="72"/>
  <c r="AK249" i="72" s="1"/>
  <c r="AM248" i="72"/>
  <c r="AO248" i="72"/>
  <c r="AQ248" i="72"/>
  <c r="AQ249" i="72" s="1"/>
  <c r="AS248" i="72"/>
  <c r="AU248" i="72"/>
  <c r="AU249" i="72" s="1"/>
  <c r="AW248" i="72"/>
  <c r="AW249" i="72" s="1"/>
  <c r="AY248" i="72"/>
  <c r="BA248" i="72"/>
  <c r="BC248" i="72"/>
  <c r="BC249" i="72" s="1"/>
  <c r="BE248" i="72"/>
  <c r="BG248" i="72"/>
  <c r="BG249" i="72" s="1"/>
  <c r="BI248" i="72"/>
  <c r="BI249" i="72" s="1"/>
  <c r="BK248" i="72"/>
  <c r="BM248" i="72"/>
  <c r="BO248" i="72"/>
  <c r="BO249" i="72" s="1"/>
  <c r="I249" i="72"/>
  <c r="O249" i="72"/>
  <c r="Q249" i="72"/>
  <c r="U249" i="72"/>
  <c r="AA249" i="72"/>
  <c r="AC249" i="72"/>
  <c r="AG249" i="72"/>
  <c r="AM249" i="72"/>
  <c r="AO249" i="72"/>
  <c r="AS249" i="72"/>
  <c r="AY249" i="72"/>
  <c r="BA249" i="72"/>
  <c r="BE249" i="72"/>
  <c r="BK249" i="72"/>
  <c r="BM249" i="72"/>
  <c r="AW4" i="71"/>
  <c r="AW5" i="71"/>
  <c r="AW6" i="71"/>
  <c r="AW7" i="71"/>
  <c r="AW8" i="71"/>
  <c r="AW9" i="71"/>
  <c r="AW10" i="71"/>
  <c r="AW11" i="71"/>
  <c r="AW12" i="71"/>
  <c r="AW13" i="71"/>
  <c r="AW14" i="71"/>
  <c r="AW15" i="71"/>
  <c r="AW16" i="71"/>
  <c r="AW17" i="71"/>
  <c r="AW18" i="71"/>
  <c r="AW19" i="71"/>
  <c r="AW20" i="71"/>
  <c r="G21" i="71"/>
  <c r="AW21" i="71" s="1"/>
  <c r="I21" i="71"/>
  <c r="K21" i="71"/>
  <c r="M21" i="71"/>
  <c r="O21" i="71"/>
  <c r="O22" i="71" s="1"/>
  <c r="Q21" i="71"/>
  <c r="Q22" i="71" s="1"/>
  <c r="S21" i="71"/>
  <c r="S22" i="71" s="1"/>
  <c r="S184" i="71" s="1"/>
  <c r="S190" i="71" s="1"/>
  <c r="U21" i="71"/>
  <c r="W21" i="71"/>
  <c r="Y21" i="71"/>
  <c r="AA21" i="71"/>
  <c r="AA22" i="71" s="1"/>
  <c r="AC21" i="71"/>
  <c r="AC22" i="71" s="1"/>
  <c r="AE21" i="71"/>
  <c r="AE22" i="71" s="1"/>
  <c r="AE184" i="71" s="1"/>
  <c r="AE190" i="71" s="1"/>
  <c r="AG21" i="71"/>
  <c r="AI21" i="71"/>
  <c r="AK21" i="71"/>
  <c r="AM21" i="71"/>
  <c r="AM22" i="71" s="1"/>
  <c r="AO21" i="71"/>
  <c r="AO22" i="71" s="1"/>
  <c r="AQ21" i="71"/>
  <c r="AQ22" i="71" s="1"/>
  <c r="AQ184" i="71" s="1"/>
  <c r="AQ190" i="71" s="1"/>
  <c r="AS21" i="71"/>
  <c r="AU21" i="71"/>
  <c r="I22" i="71"/>
  <c r="K22" i="71"/>
  <c r="M22" i="71"/>
  <c r="U22" i="71"/>
  <c r="W22" i="71"/>
  <c r="Y22" i="71"/>
  <c r="AG22" i="71"/>
  <c r="AI22" i="71"/>
  <c r="AK22" i="71"/>
  <c r="AS22" i="71"/>
  <c r="AU22" i="71"/>
  <c r="AW24" i="71"/>
  <c r="AW26" i="71"/>
  <c r="AW27" i="71"/>
  <c r="AW28" i="71"/>
  <c r="AW29" i="71"/>
  <c r="AW30" i="71"/>
  <c r="AW31" i="71"/>
  <c r="AW32" i="71"/>
  <c r="AW33" i="71"/>
  <c r="AW34" i="71"/>
  <c r="AW35" i="71"/>
  <c r="AW36" i="71"/>
  <c r="AW37" i="71"/>
  <c r="AW38" i="71"/>
  <c r="AW39" i="71"/>
  <c r="AW40" i="71"/>
  <c r="AW41" i="71"/>
  <c r="AW42" i="71"/>
  <c r="AW43" i="71"/>
  <c r="AW44" i="71"/>
  <c r="AW45" i="71"/>
  <c r="AW46" i="71"/>
  <c r="AW47" i="71"/>
  <c r="AW48" i="71"/>
  <c r="AW49" i="71"/>
  <c r="AW50" i="71"/>
  <c r="AW51" i="71"/>
  <c r="G52" i="71"/>
  <c r="AW52" i="71" s="1"/>
  <c r="I52" i="71"/>
  <c r="K52" i="71"/>
  <c r="M52" i="71"/>
  <c r="O52" i="71"/>
  <c r="Q52" i="71"/>
  <c r="S52" i="71"/>
  <c r="U52" i="71"/>
  <c r="W52" i="71"/>
  <c r="Y52" i="71"/>
  <c r="AA52" i="71"/>
  <c r="AC52" i="71"/>
  <c r="AE52" i="71"/>
  <c r="AG52" i="71"/>
  <c r="AI52" i="71"/>
  <c r="AK52" i="71"/>
  <c r="AM52" i="71"/>
  <c r="AO52" i="71"/>
  <c r="AQ52" i="71"/>
  <c r="AS52" i="71"/>
  <c r="AU52" i="71"/>
  <c r="AW54" i="71"/>
  <c r="AW55" i="71"/>
  <c r="AW56" i="71"/>
  <c r="AW57" i="71"/>
  <c r="AW58" i="71"/>
  <c r="AW59" i="71"/>
  <c r="AW60" i="71"/>
  <c r="G61" i="71"/>
  <c r="AW61" i="71" s="1"/>
  <c r="I61" i="71"/>
  <c r="K61" i="71"/>
  <c r="K183" i="71" s="1"/>
  <c r="M61" i="71"/>
  <c r="O61" i="71"/>
  <c r="Q61" i="71"/>
  <c r="S61" i="71"/>
  <c r="U61" i="71"/>
  <c r="W61" i="71"/>
  <c r="W183" i="71" s="1"/>
  <c r="Y61" i="71"/>
  <c r="AA61" i="71"/>
  <c r="AC61" i="71"/>
  <c r="AE61" i="71"/>
  <c r="AG61" i="71"/>
  <c r="AI61" i="71"/>
  <c r="AI183" i="71" s="1"/>
  <c r="AK61" i="71"/>
  <c r="AM61" i="71"/>
  <c r="AO61" i="71"/>
  <c r="AQ61" i="71"/>
  <c r="AS61" i="71"/>
  <c r="AU61" i="71"/>
  <c r="AU183" i="71" s="1"/>
  <c r="AW63" i="71"/>
  <c r="G64" i="71"/>
  <c r="I64" i="71"/>
  <c r="K64" i="71"/>
  <c r="M64" i="71"/>
  <c r="M183" i="71" s="1"/>
  <c r="M184" i="71" s="1"/>
  <c r="O64" i="71"/>
  <c r="Q64" i="71"/>
  <c r="S64" i="71"/>
  <c r="U64" i="71"/>
  <c r="W64" i="71"/>
  <c r="Y64" i="71"/>
  <c r="Y183" i="71" s="1"/>
  <c r="Y184" i="71" s="1"/>
  <c r="Y190" i="71" s="1"/>
  <c r="AA64" i="71"/>
  <c r="AC64" i="71"/>
  <c r="AE64" i="71"/>
  <c r="AG64" i="71"/>
  <c r="AI64" i="71"/>
  <c r="AK64" i="71"/>
  <c r="AK183" i="71" s="1"/>
  <c r="AK184" i="71" s="1"/>
  <c r="AK190" i="71" s="1"/>
  <c r="AM64" i="71"/>
  <c r="AO64" i="71"/>
  <c r="AQ64" i="71"/>
  <c r="AS64" i="71"/>
  <c r="AU64" i="71"/>
  <c r="AW64" i="71"/>
  <c r="AW66" i="71"/>
  <c r="AW67" i="71"/>
  <c r="AW68" i="71"/>
  <c r="AW69" i="71"/>
  <c r="AW70" i="71"/>
  <c r="G71" i="71"/>
  <c r="AW71" i="71" s="1"/>
  <c r="I71" i="71"/>
  <c r="K71" i="71"/>
  <c r="M71" i="71"/>
  <c r="O71" i="71"/>
  <c r="O183" i="71" s="1"/>
  <c r="Q71" i="71"/>
  <c r="Q183" i="71" s="1"/>
  <c r="S71" i="71"/>
  <c r="S183" i="71" s="1"/>
  <c r="U71" i="71"/>
  <c r="W71" i="71"/>
  <c r="Y71" i="71"/>
  <c r="AA71" i="71"/>
  <c r="AA183" i="71" s="1"/>
  <c r="AC71" i="71"/>
  <c r="AC183" i="71" s="1"/>
  <c r="AE71" i="71"/>
  <c r="AE183" i="71" s="1"/>
  <c r="AG71" i="71"/>
  <c r="AI71" i="71"/>
  <c r="AK71" i="71"/>
  <c r="AM71" i="71"/>
  <c r="AM183" i="71" s="1"/>
  <c r="AO71" i="71"/>
  <c r="AO183" i="71" s="1"/>
  <c r="AQ71" i="71"/>
  <c r="AQ183" i="71" s="1"/>
  <c r="AS71" i="71"/>
  <c r="AU71" i="71"/>
  <c r="AW73" i="71"/>
  <c r="G74" i="71"/>
  <c r="AW74" i="71" s="1"/>
  <c r="I74" i="71"/>
  <c r="K74" i="71"/>
  <c r="M74" i="71"/>
  <c r="O74" i="71"/>
  <c r="Q74" i="71"/>
  <c r="S74" i="71"/>
  <c r="U74" i="71"/>
  <c r="W74" i="71"/>
  <c r="Y74" i="71"/>
  <c r="AA74" i="71"/>
  <c r="AC74" i="71"/>
  <c r="AE74" i="71"/>
  <c r="AG74" i="71"/>
  <c r="AI74" i="71"/>
  <c r="AK74" i="71"/>
  <c r="AM74" i="71"/>
  <c r="AO74" i="71"/>
  <c r="AQ74" i="71"/>
  <c r="AS74" i="71"/>
  <c r="AU74" i="71"/>
  <c r="AW76" i="71"/>
  <c r="AW77" i="71"/>
  <c r="AW78" i="71"/>
  <c r="G79" i="71"/>
  <c r="AW79" i="71" s="1"/>
  <c r="I79" i="71"/>
  <c r="K79" i="71"/>
  <c r="M79" i="71"/>
  <c r="O79" i="71"/>
  <c r="Q79" i="71"/>
  <c r="S79" i="71"/>
  <c r="U79" i="71"/>
  <c r="W79" i="71"/>
  <c r="Y79" i="71"/>
  <c r="AA79" i="71"/>
  <c r="AC79" i="71"/>
  <c r="AE79" i="71"/>
  <c r="AG79" i="71"/>
  <c r="AI79" i="71"/>
  <c r="AK79" i="71"/>
  <c r="AM79" i="71"/>
  <c r="AO79" i="71"/>
  <c r="AQ79" i="71"/>
  <c r="AS79" i="71"/>
  <c r="AU79" i="71"/>
  <c r="AW81" i="71"/>
  <c r="AW82" i="71"/>
  <c r="G83" i="71"/>
  <c r="AW83" i="71" s="1"/>
  <c r="I83" i="71"/>
  <c r="K83" i="71"/>
  <c r="M83" i="71"/>
  <c r="O83" i="71"/>
  <c r="Q83" i="71"/>
  <c r="S83" i="71"/>
  <c r="U83" i="71"/>
  <c r="W83" i="71"/>
  <c r="Y83" i="71"/>
  <c r="AA83" i="71"/>
  <c r="AC83" i="71"/>
  <c r="AE83" i="71"/>
  <c r="AG83" i="71"/>
  <c r="AI83" i="71"/>
  <c r="AK83" i="71"/>
  <c r="AM83" i="71"/>
  <c r="AO83" i="71"/>
  <c r="AQ83" i="71"/>
  <c r="AS83" i="71"/>
  <c r="AU83" i="71"/>
  <c r="AW85" i="71"/>
  <c r="AW86" i="71"/>
  <c r="AW87" i="71"/>
  <c r="AW88" i="71"/>
  <c r="AW89" i="71"/>
  <c r="AW90" i="71"/>
  <c r="AW91" i="71"/>
  <c r="AW92" i="71"/>
  <c r="AW93" i="71"/>
  <c r="AW94" i="71"/>
  <c r="AW95" i="71"/>
  <c r="G96" i="71"/>
  <c r="I96" i="71"/>
  <c r="K96" i="71"/>
  <c r="M96" i="71"/>
  <c r="O96" i="71"/>
  <c r="Q96" i="71"/>
  <c r="S96" i="71"/>
  <c r="U96" i="71"/>
  <c r="W96" i="71"/>
  <c r="Y96" i="71"/>
  <c r="AA96" i="71"/>
  <c r="AC96" i="71"/>
  <c r="AE96" i="71"/>
  <c r="AG96" i="71"/>
  <c r="AI96" i="71"/>
  <c r="AK96" i="71"/>
  <c r="AM96" i="71"/>
  <c r="AO96" i="71"/>
  <c r="AQ96" i="71"/>
  <c r="AS96" i="71"/>
  <c r="AU96" i="71"/>
  <c r="AW96" i="71"/>
  <c r="AW98" i="71"/>
  <c r="AW99" i="71"/>
  <c r="AW100" i="71"/>
  <c r="AW101" i="71"/>
  <c r="G102" i="71"/>
  <c r="AW102" i="71" s="1"/>
  <c r="I102" i="71"/>
  <c r="K102" i="71"/>
  <c r="M102" i="71"/>
  <c r="O102" i="71"/>
  <c r="Q102" i="71"/>
  <c r="S102" i="71"/>
  <c r="U102" i="71"/>
  <c r="W102" i="71"/>
  <c r="Y102" i="71"/>
  <c r="AA102" i="71"/>
  <c r="AC102" i="71"/>
  <c r="AE102" i="71"/>
  <c r="AG102" i="71"/>
  <c r="AI102" i="71"/>
  <c r="AK102" i="71"/>
  <c r="AM102" i="71"/>
  <c r="AO102" i="71"/>
  <c r="AQ102" i="71"/>
  <c r="AS102" i="71"/>
  <c r="AU102" i="71"/>
  <c r="AW104" i="71"/>
  <c r="G105" i="71"/>
  <c r="AW105" i="71" s="1"/>
  <c r="I105" i="71"/>
  <c r="K105" i="71"/>
  <c r="M105" i="71"/>
  <c r="O105" i="71"/>
  <c r="Q105" i="71"/>
  <c r="S105" i="71"/>
  <c r="U105" i="71"/>
  <c r="W105" i="71"/>
  <c r="Y105" i="71"/>
  <c r="AA105" i="71"/>
  <c r="AC105" i="71"/>
  <c r="AE105" i="71"/>
  <c r="AG105" i="71"/>
  <c r="AI105" i="71"/>
  <c r="AK105" i="71"/>
  <c r="AM105" i="71"/>
  <c r="AO105" i="71"/>
  <c r="AQ105" i="71"/>
  <c r="AS105" i="71"/>
  <c r="AU105" i="71"/>
  <c r="AW107" i="71"/>
  <c r="G108" i="71"/>
  <c r="I108" i="71"/>
  <c r="K108" i="71"/>
  <c r="M108" i="71"/>
  <c r="O108" i="71"/>
  <c r="Q108" i="71"/>
  <c r="S108" i="71"/>
  <c r="U108" i="71"/>
  <c r="W108" i="71"/>
  <c r="Y108" i="71"/>
  <c r="AW108" i="71" s="1"/>
  <c r="AA108" i="71"/>
  <c r="AC108" i="71"/>
  <c r="AE108" i="71"/>
  <c r="AG108" i="71"/>
  <c r="AI108" i="71"/>
  <c r="AK108" i="71"/>
  <c r="AM108" i="71"/>
  <c r="AO108" i="71"/>
  <c r="AQ108" i="71"/>
  <c r="AS108" i="71"/>
  <c r="AU108" i="71"/>
  <c r="AW110" i="71"/>
  <c r="G111" i="71"/>
  <c r="I111" i="71"/>
  <c r="K111" i="71"/>
  <c r="M111" i="71"/>
  <c r="O111" i="71"/>
  <c r="AW111" i="71" s="1"/>
  <c r="Q111" i="71"/>
  <c r="S111" i="71"/>
  <c r="U111" i="71"/>
  <c r="W111" i="71"/>
  <c r="Y111" i="71"/>
  <c r="AA111" i="71"/>
  <c r="AC111" i="71"/>
  <c r="AE111" i="71"/>
  <c r="AG111" i="71"/>
  <c r="AI111" i="71"/>
  <c r="AK111" i="71"/>
  <c r="AM111" i="71"/>
  <c r="AO111" i="71"/>
  <c r="AQ111" i="71"/>
  <c r="AS111" i="71"/>
  <c r="AU111" i="71"/>
  <c r="AW113" i="71"/>
  <c r="G114" i="71"/>
  <c r="I114" i="71"/>
  <c r="K114" i="71"/>
  <c r="M114" i="71"/>
  <c r="O114" i="71"/>
  <c r="AW114" i="71" s="1"/>
  <c r="Q114" i="71"/>
  <c r="S114" i="71"/>
  <c r="U114" i="71"/>
  <c r="W114" i="71"/>
  <c r="Y114" i="71"/>
  <c r="AA114" i="71"/>
  <c r="AC114" i="71"/>
  <c r="AE114" i="71"/>
  <c r="AG114" i="71"/>
  <c r="AI114" i="71"/>
  <c r="AK114" i="71"/>
  <c r="AM114" i="71"/>
  <c r="AO114" i="71"/>
  <c r="AQ114" i="71"/>
  <c r="AS114" i="71"/>
  <c r="AU114" i="71"/>
  <c r="AW116" i="71"/>
  <c r="G117" i="71"/>
  <c r="AW117" i="71" s="1"/>
  <c r="I117" i="71"/>
  <c r="K117" i="71"/>
  <c r="M117" i="71"/>
  <c r="O117" i="71"/>
  <c r="Q117" i="71"/>
  <c r="S117" i="71"/>
  <c r="U117" i="71"/>
  <c r="W117" i="71"/>
  <c r="Y117" i="71"/>
  <c r="AA117" i="71"/>
  <c r="AC117" i="71"/>
  <c r="AE117" i="71"/>
  <c r="AG117" i="71"/>
  <c r="AI117" i="71"/>
  <c r="AK117" i="71"/>
  <c r="AM117" i="71"/>
  <c r="AO117" i="71"/>
  <c r="AQ117" i="71"/>
  <c r="AS117" i="71"/>
  <c r="AU117" i="71"/>
  <c r="AW119" i="71"/>
  <c r="AW120" i="71"/>
  <c r="AW121" i="71"/>
  <c r="G122" i="71"/>
  <c r="I122" i="71"/>
  <c r="K122" i="71"/>
  <c r="M122" i="71"/>
  <c r="O122" i="71"/>
  <c r="AW122" i="71" s="1"/>
  <c r="Q122" i="71"/>
  <c r="S122" i="71"/>
  <c r="U122" i="71"/>
  <c r="W122" i="71"/>
  <c r="Y122" i="71"/>
  <c r="AA122" i="71"/>
  <c r="AC122" i="71"/>
  <c r="AE122" i="71"/>
  <c r="AG122" i="71"/>
  <c r="AI122" i="71"/>
  <c r="AK122" i="71"/>
  <c r="AM122" i="71"/>
  <c r="AO122" i="71"/>
  <c r="AQ122" i="71"/>
  <c r="AS122" i="71"/>
  <c r="AU122" i="71"/>
  <c r="AW124" i="71"/>
  <c r="AW125" i="71"/>
  <c r="AW126" i="71"/>
  <c r="AW127" i="71"/>
  <c r="AW128" i="71"/>
  <c r="AW129" i="71"/>
  <c r="AW130" i="71"/>
  <c r="AW131" i="71"/>
  <c r="AW132" i="71"/>
  <c r="AW133" i="71"/>
  <c r="AW134" i="71"/>
  <c r="AW135" i="71"/>
  <c r="G136" i="71"/>
  <c r="AW136" i="71" s="1"/>
  <c r="I136" i="71"/>
  <c r="K136" i="71"/>
  <c r="M136" i="71"/>
  <c r="O136" i="71"/>
  <c r="Q136" i="71"/>
  <c r="S136" i="71"/>
  <c r="U136" i="71"/>
  <c r="W136" i="71"/>
  <c r="Y136" i="71"/>
  <c r="AA136" i="71"/>
  <c r="AC136" i="71"/>
  <c r="AE136" i="71"/>
  <c r="AG136" i="71"/>
  <c r="AI136" i="71"/>
  <c r="AK136" i="71"/>
  <c r="AM136" i="71"/>
  <c r="AO136" i="71"/>
  <c r="AQ136" i="71"/>
  <c r="AS136" i="71"/>
  <c r="AU136" i="71"/>
  <c r="AW138" i="71"/>
  <c r="G139" i="71"/>
  <c r="AW139" i="71" s="1"/>
  <c r="I139" i="71"/>
  <c r="K139" i="71"/>
  <c r="M139" i="71"/>
  <c r="O139" i="71"/>
  <c r="Q139" i="71"/>
  <c r="S139" i="71"/>
  <c r="U139" i="71"/>
  <c r="W139" i="71"/>
  <c r="Y139" i="71"/>
  <c r="AA139" i="71"/>
  <c r="AC139" i="71"/>
  <c r="AE139" i="71"/>
  <c r="AG139" i="71"/>
  <c r="AI139" i="71"/>
  <c r="AK139" i="71"/>
  <c r="AM139" i="71"/>
  <c r="AO139" i="71"/>
  <c r="AQ139" i="71"/>
  <c r="AS139" i="71"/>
  <c r="AU139" i="71"/>
  <c r="AW141" i="71"/>
  <c r="G142" i="71"/>
  <c r="I142" i="71"/>
  <c r="K142" i="71"/>
  <c r="M142" i="71"/>
  <c r="O142" i="71"/>
  <c r="Q142" i="71"/>
  <c r="S142" i="71"/>
  <c r="U142" i="71"/>
  <c r="W142" i="71"/>
  <c r="Y142" i="71"/>
  <c r="AA142" i="71"/>
  <c r="AC142" i="71"/>
  <c r="AE142" i="71"/>
  <c r="AG142" i="71"/>
  <c r="AI142" i="71"/>
  <c r="AK142" i="71"/>
  <c r="AM142" i="71"/>
  <c r="AO142" i="71"/>
  <c r="AQ142" i="71"/>
  <c r="AS142" i="71"/>
  <c r="AU142" i="71"/>
  <c r="AW142" i="71"/>
  <c r="AW144" i="71"/>
  <c r="G145" i="71"/>
  <c r="I145" i="71"/>
  <c r="K145" i="71"/>
  <c r="M145" i="71"/>
  <c r="O145" i="71"/>
  <c r="AW145" i="71" s="1"/>
  <c r="Q145" i="71"/>
  <c r="S145" i="71"/>
  <c r="U145" i="71"/>
  <c r="W145" i="71"/>
  <c r="Y145" i="71"/>
  <c r="AA145" i="71"/>
  <c r="AC145" i="71"/>
  <c r="AE145" i="71"/>
  <c r="AG145" i="71"/>
  <c r="AI145" i="71"/>
  <c r="AK145" i="71"/>
  <c r="AM145" i="71"/>
  <c r="AO145" i="71"/>
  <c r="AQ145" i="71"/>
  <c r="AS145" i="71"/>
  <c r="AU145" i="71"/>
  <c r="AW147" i="71"/>
  <c r="G148" i="71"/>
  <c r="I148" i="71"/>
  <c r="K148" i="71"/>
  <c r="M148" i="71"/>
  <c r="O148" i="71"/>
  <c r="AW148" i="71" s="1"/>
  <c r="Q148" i="71"/>
  <c r="S148" i="71"/>
  <c r="U148" i="71"/>
  <c r="W148" i="71"/>
  <c r="Y148" i="71"/>
  <c r="AA148" i="71"/>
  <c r="AC148" i="71"/>
  <c r="AE148" i="71"/>
  <c r="AG148" i="71"/>
  <c r="AI148" i="71"/>
  <c r="AK148" i="71"/>
  <c r="AM148" i="71"/>
  <c r="AO148" i="71"/>
  <c r="AQ148" i="71"/>
  <c r="AS148" i="71"/>
  <c r="AU148" i="71"/>
  <c r="AW150" i="71"/>
  <c r="G151" i="71"/>
  <c r="AW151" i="71" s="1"/>
  <c r="I151" i="71"/>
  <c r="K151" i="71"/>
  <c r="M151" i="71"/>
  <c r="O151" i="71"/>
  <c r="Q151" i="71"/>
  <c r="S151" i="71"/>
  <c r="U151" i="71"/>
  <c r="W151" i="71"/>
  <c r="Y151" i="71"/>
  <c r="AA151" i="71"/>
  <c r="AC151" i="71"/>
  <c r="AE151" i="71"/>
  <c r="AG151" i="71"/>
  <c r="AI151" i="71"/>
  <c r="AK151" i="71"/>
  <c r="AM151" i="71"/>
  <c r="AO151" i="71"/>
  <c r="AQ151" i="71"/>
  <c r="AS151" i="71"/>
  <c r="AU151" i="71"/>
  <c r="AW153" i="71"/>
  <c r="AW154" i="71"/>
  <c r="AW155" i="71"/>
  <c r="AW156" i="71"/>
  <c r="AW157" i="71"/>
  <c r="AW158" i="71"/>
  <c r="G159" i="71"/>
  <c r="AW159" i="71" s="1"/>
  <c r="I159" i="71"/>
  <c r="K159" i="71"/>
  <c r="M159" i="71"/>
  <c r="O159" i="71"/>
  <c r="Q159" i="71"/>
  <c r="S159" i="71"/>
  <c r="U159" i="71"/>
  <c r="W159" i="71"/>
  <c r="Y159" i="71"/>
  <c r="AA159" i="71"/>
  <c r="AC159" i="71"/>
  <c r="AE159" i="71"/>
  <c r="AG159" i="71"/>
  <c r="AI159" i="71"/>
  <c r="AK159" i="71"/>
  <c r="AM159" i="71"/>
  <c r="AO159" i="71"/>
  <c r="AQ159" i="71"/>
  <c r="AS159" i="71"/>
  <c r="AU159" i="71"/>
  <c r="AW161" i="71"/>
  <c r="AW162" i="71"/>
  <c r="AW163" i="71"/>
  <c r="AW164" i="71"/>
  <c r="AW165" i="71"/>
  <c r="G166" i="71"/>
  <c r="I166" i="71"/>
  <c r="K166" i="71"/>
  <c r="M166" i="71"/>
  <c r="O166" i="71"/>
  <c r="AW166" i="71" s="1"/>
  <c r="Q166" i="71"/>
  <c r="S166" i="71"/>
  <c r="U166" i="71"/>
  <c r="W166" i="71"/>
  <c r="Y166" i="71"/>
  <c r="AA166" i="71"/>
  <c r="AC166" i="71"/>
  <c r="AE166" i="71"/>
  <c r="AG166" i="71"/>
  <c r="AI166" i="71"/>
  <c r="AK166" i="71"/>
  <c r="AM166" i="71"/>
  <c r="AO166" i="71"/>
  <c r="AQ166" i="71"/>
  <c r="AS166" i="71"/>
  <c r="AU166" i="71"/>
  <c r="AW168" i="71"/>
  <c r="G169" i="71"/>
  <c r="AW169" i="71" s="1"/>
  <c r="I169" i="71"/>
  <c r="K169" i="71"/>
  <c r="M169" i="71"/>
  <c r="O169" i="71"/>
  <c r="Q169" i="71"/>
  <c r="S169" i="71"/>
  <c r="U169" i="71"/>
  <c r="W169" i="71"/>
  <c r="Y169" i="71"/>
  <c r="AA169" i="71"/>
  <c r="AC169" i="71"/>
  <c r="AE169" i="71"/>
  <c r="AG169" i="71"/>
  <c r="AI169" i="71"/>
  <c r="AK169" i="71"/>
  <c r="AM169" i="71"/>
  <c r="AO169" i="71"/>
  <c r="AQ169" i="71"/>
  <c r="AS169" i="71"/>
  <c r="AU169" i="71"/>
  <c r="AW171" i="71"/>
  <c r="G172" i="71"/>
  <c r="AW172" i="71" s="1"/>
  <c r="I172" i="71"/>
  <c r="K172" i="71"/>
  <c r="M172" i="71"/>
  <c r="O172" i="71"/>
  <c r="Q172" i="71"/>
  <c r="S172" i="71"/>
  <c r="U172" i="71"/>
  <c r="W172" i="71"/>
  <c r="Y172" i="71"/>
  <c r="AA172" i="71"/>
  <c r="AC172" i="71"/>
  <c r="AE172" i="71"/>
  <c r="AG172" i="71"/>
  <c r="AI172" i="71"/>
  <c r="AK172" i="71"/>
  <c r="AM172" i="71"/>
  <c r="AO172" i="71"/>
  <c r="AQ172" i="71"/>
  <c r="AS172" i="71"/>
  <c r="AU172" i="71"/>
  <c r="AW174" i="71"/>
  <c r="G175" i="71"/>
  <c r="AW175" i="71" s="1"/>
  <c r="I175" i="71"/>
  <c r="K175" i="71"/>
  <c r="M175" i="71"/>
  <c r="O175" i="71"/>
  <c r="Q175" i="71"/>
  <c r="S175" i="71"/>
  <c r="U175" i="71"/>
  <c r="W175" i="71"/>
  <c r="Y175" i="71"/>
  <c r="AA175" i="71"/>
  <c r="AC175" i="71"/>
  <c r="AE175" i="71"/>
  <c r="AG175" i="71"/>
  <c r="AI175" i="71"/>
  <c r="AK175" i="71"/>
  <c r="AM175" i="71"/>
  <c r="AO175" i="71"/>
  <c r="AQ175" i="71"/>
  <c r="AS175" i="71"/>
  <c r="AU175" i="71"/>
  <c r="AW177" i="71"/>
  <c r="AW178" i="71"/>
  <c r="AW179" i="71"/>
  <c r="AW180" i="71"/>
  <c r="AW181" i="71"/>
  <c r="G182" i="71"/>
  <c r="I182" i="71"/>
  <c r="K182" i="71"/>
  <c r="M182" i="71"/>
  <c r="O182" i="71"/>
  <c r="AW182" i="71" s="1"/>
  <c r="Q182" i="71"/>
  <c r="S182" i="71"/>
  <c r="U182" i="71"/>
  <c r="W182" i="71"/>
  <c r="Y182" i="71"/>
  <c r="AA182" i="71"/>
  <c r="AC182" i="71"/>
  <c r="AE182" i="71"/>
  <c r="AG182" i="71"/>
  <c r="AI182" i="71"/>
  <c r="AK182" i="71"/>
  <c r="AM182" i="71"/>
  <c r="AO182" i="71"/>
  <c r="AQ182" i="71"/>
  <c r="AS182" i="71"/>
  <c r="AU182" i="71"/>
  <c r="I183" i="71"/>
  <c r="I184" i="71" s="1"/>
  <c r="U183" i="71"/>
  <c r="U184" i="71" s="1"/>
  <c r="U190" i="71" s="1"/>
  <c r="AG183" i="71"/>
  <c r="AG184" i="71" s="1"/>
  <c r="AS183" i="71"/>
  <c r="AS184" i="71" s="1"/>
  <c r="AW187" i="71"/>
  <c r="G188" i="71"/>
  <c r="I188" i="71"/>
  <c r="I189" i="71" s="1"/>
  <c r="K188" i="71"/>
  <c r="K189" i="71" s="1"/>
  <c r="M188" i="71"/>
  <c r="M189" i="71" s="1"/>
  <c r="O188" i="71"/>
  <c r="O189" i="71" s="1"/>
  <c r="Q188" i="71"/>
  <c r="S188" i="71"/>
  <c r="U188" i="71"/>
  <c r="U189" i="71" s="1"/>
  <c r="W188" i="71"/>
  <c r="W189" i="71" s="1"/>
  <c r="Y188" i="71"/>
  <c r="Y189" i="71" s="1"/>
  <c r="AA188" i="71"/>
  <c r="AA189" i="71" s="1"/>
  <c r="AC188" i="71"/>
  <c r="AE188" i="71"/>
  <c r="AG188" i="71"/>
  <c r="AG189" i="71" s="1"/>
  <c r="AI188" i="71"/>
  <c r="AI189" i="71" s="1"/>
  <c r="AK188" i="71"/>
  <c r="AK189" i="71" s="1"/>
  <c r="AM188" i="71"/>
  <c r="AM189" i="71" s="1"/>
  <c r="AO188" i="71"/>
  <c r="AQ188" i="71"/>
  <c r="AS188" i="71"/>
  <c r="AS189" i="71" s="1"/>
  <c r="AU188" i="71"/>
  <c r="AU189" i="71" s="1"/>
  <c r="G189" i="71"/>
  <c r="Q189" i="71"/>
  <c r="S189" i="71"/>
  <c r="AC189" i="71"/>
  <c r="AE189" i="71"/>
  <c r="AO189" i="71"/>
  <c r="AQ189" i="71"/>
  <c r="G28" i="70"/>
  <c r="G32" i="70" s="1"/>
  <c r="G33" i="70" s="1"/>
  <c r="I28" i="70"/>
  <c r="I32" i="70"/>
  <c r="I33" i="70"/>
  <c r="G68" i="70"/>
  <c r="I68" i="70"/>
  <c r="G71" i="70"/>
  <c r="I71" i="70"/>
  <c r="G82" i="70"/>
  <c r="G244" i="70" s="1"/>
  <c r="I82" i="70"/>
  <c r="I244" i="70" s="1"/>
  <c r="I245" i="70" s="1"/>
  <c r="I251" i="70" s="1"/>
  <c r="G85" i="70"/>
  <c r="I85" i="70"/>
  <c r="G94" i="70"/>
  <c r="I94" i="70"/>
  <c r="G98" i="70"/>
  <c r="I98" i="70"/>
  <c r="G104" i="70"/>
  <c r="I104" i="70"/>
  <c r="G111" i="70"/>
  <c r="I111" i="70"/>
  <c r="G115" i="70"/>
  <c r="I115" i="70"/>
  <c r="G131" i="70"/>
  <c r="I131" i="70"/>
  <c r="G139" i="70"/>
  <c r="I139" i="70"/>
  <c r="G142" i="70"/>
  <c r="I142" i="70"/>
  <c r="G145" i="70"/>
  <c r="I145" i="70"/>
  <c r="G149" i="70"/>
  <c r="I149" i="70"/>
  <c r="G152" i="70"/>
  <c r="I152" i="70"/>
  <c r="G155" i="70"/>
  <c r="I155" i="70"/>
  <c r="G161" i="70"/>
  <c r="I161" i="70"/>
  <c r="G177" i="70"/>
  <c r="I177" i="70"/>
  <c r="G180" i="70"/>
  <c r="I180" i="70"/>
  <c r="G184" i="70"/>
  <c r="I184" i="70"/>
  <c r="G187" i="70"/>
  <c r="I187" i="70"/>
  <c r="G194" i="70"/>
  <c r="I194" i="70"/>
  <c r="G197" i="70"/>
  <c r="I197" i="70"/>
  <c r="G208" i="70"/>
  <c r="I208" i="70"/>
  <c r="G218" i="70"/>
  <c r="I218" i="70"/>
  <c r="G221" i="70"/>
  <c r="I221" i="70"/>
  <c r="G224" i="70"/>
  <c r="I224" i="70"/>
  <c r="G229" i="70"/>
  <c r="I229" i="70"/>
  <c r="G233" i="70"/>
  <c r="I233" i="70"/>
  <c r="G240" i="70"/>
  <c r="I240" i="70"/>
  <c r="G243" i="70"/>
  <c r="I243" i="70"/>
  <c r="G249" i="70"/>
  <c r="I249" i="70"/>
  <c r="G250" i="70"/>
  <c r="I250" i="70"/>
  <c r="F29" i="69"/>
  <c r="F32" i="69"/>
  <c r="F35" i="69"/>
  <c r="F38" i="69"/>
  <c r="F39" i="69"/>
  <c r="F42" i="69"/>
  <c r="F46" i="69"/>
  <c r="F52" i="69"/>
  <c r="F56" i="69"/>
  <c r="F58" i="69"/>
  <c r="F65" i="69"/>
  <c r="F70" i="69"/>
  <c r="F71" i="69" s="1"/>
  <c r="F77" i="69" s="1"/>
  <c r="F84" i="69" s="1"/>
  <c r="F75" i="69"/>
  <c r="F76" i="69"/>
  <c r="F83" i="69"/>
  <c r="F47" i="69" l="1"/>
  <c r="F59" i="69" s="1"/>
  <c r="I36" i="73"/>
  <c r="G262" i="73"/>
  <c r="G36" i="73"/>
  <c r="I262" i="73"/>
  <c r="M262" i="73" s="1"/>
  <c r="AW244" i="72"/>
  <c r="AW250" i="72" s="1"/>
  <c r="M250" i="72"/>
  <c r="BA244" i="72"/>
  <c r="BA250" i="72" s="1"/>
  <c r="AI250" i="72"/>
  <c r="BQ31" i="72"/>
  <c r="G32" i="72"/>
  <c r="AK250" i="72"/>
  <c r="BM244" i="72"/>
  <c r="BM250" i="72" s="1"/>
  <c r="AU250" i="72"/>
  <c r="K250" i="72"/>
  <c r="BK244" i="72"/>
  <c r="BK250" i="72" s="1"/>
  <c r="AY244" i="72"/>
  <c r="AY250" i="72" s="1"/>
  <c r="AM244" i="72"/>
  <c r="AM250" i="72" s="1"/>
  <c r="AA244" i="72"/>
  <c r="AA250" i="72" s="1"/>
  <c r="O244" i="72"/>
  <c r="O250" i="72" s="1"/>
  <c r="BO250" i="72"/>
  <c r="BC250" i="72"/>
  <c r="AQ250" i="72"/>
  <c r="AE250" i="72"/>
  <c r="S250" i="72"/>
  <c r="BQ243" i="72"/>
  <c r="BI244" i="72"/>
  <c r="BI250" i="72" s="1"/>
  <c r="Y250" i="72"/>
  <c r="BG250" i="72"/>
  <c r="AO244" i="72"/>
  <c r="AO250" i="72" s="1"/>
  <c r="W250" i="72"/>
  <c r="BQ110" i="72"/>
  <c r="BQ27" i="72"/>
  <c r="BQ84" i="72"/>
  <c r="BQ179" i="72"/>
  <c r="G249" i="72"/>
  <c r="BQ249" i="72" s="1"/>
  <c r="I190" i="71"/>
  <c r="AO184" i="71"/>
  <c r="AO190" i="71" s="1"/>
  <c r="AC184" i="71"/>
  <c r="AC190" i="71" s="1"/>
  <c r="Q184" i="71"/>
  <c r="Q190" i="71" s="1"/>
  <c r="M190" i="71"/>
  <c r="AI184" i="71"/>
  <c r="AI190" i="71" s="1"/>
  <c r="K184" i="71"/>
  <c r="K190" i="71" s="1"/>
  <c r="AM184" i="71"/>
  <c r="AM190" i="71" s="1"/>
  <c r="AA184" i="71"/>
  <c r="AA190" i="71" s="1"/>
  <c r="O184" i="71"/>
  <c r="O190" i="71" s="1"/>
  <c r="AS190" i="71"/>
  <c r="AW189" i="71"/>
  <c r="AG190" i="71"/>
  <c r="AU184" i="71"/>
  <c r="AU190" i="71" s="1"/>
  <c r="W184" i="71"/>
  <c r="W190" i="71" s="1"/>
  <c r="AW188" i="71"/>
  <c r="G183" i="71"/>
  <c r="AW183" i="71" s="1"/>
  <c r="G22" i="71"/>
  <c r="G245" i="70"/>
  <c r="G251" i="70" s="1"/>
  <c r="G37" i="73" l="1"/>
  <c r="K36" i="73"/>
  <c r="K262" i="73"/>
  <c r="I37" i="73"/>
  <c r="M36" i="73"/>
  <c r="BQ32" i="72"/>
  <c r="G244" i="72"/>
  <c r="AW22" i="71"/>
  <c r="G184" i="71"/>
  <c r="M37" i="73" l="1"/>
  <c r="I256" i="73"/>
  <c r="K37" i="73"/>
  <c r="G256" i="73"/>
  <c r="BQ244" i="72"/>
  <c r="G250" i="72"/>
  <c r="BQ250" i="72" s="1"/>
  <c r="AW184" i="71"/>
  <c r="G190" i="71"/>
  <c r="AW190" i="71" s="1"/>
  <c r="G263" i="73" l="1"/>
  <c r="K256" i="73"/>
  <c r="I263" i="73"/>
  <c r="M263" i="73" s="1"/>
  <c r="M256" i="73"/>
  <c r="K263" i="7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tc={65CBCAA1-8985-4ACE-9D1C-7C60E488F7C7}</author>
  </authors>
  <commentList>
    <comment ref="K244" authorId="0" shapeId="0" xr:uid="{65CBCAA1-8985-4ACE-9D1C-7C60E488F7C7}">
      <text>
        <t>[Threaded comment]
Your version of Excel allows you to read this threaded comment; however, any edits to it will get removed if the file is opened in a newer version of Excel. Learn more: https://go.microsoft.com/fwlink/?linkid=870924
Comment:
    @Powell, Jade</t>
      </text>
    </comment>
  </commentList>
</comments>
</file>

<file path=xl/sharedStrings.xml><?xml version="1.0" encoding="utf-8"?>
<sst xmlns="http://schemas.openxmlformats.org/spreadsheetml/2006/main" count="1543" uniqueCount="719">
  <si>
    <t>Jun 30, 26</t>
  </si>
  <si>
    <t>ASSETS</t>
  </si>
  <si>
    <t>Current Assets</t>
  </si>
  <si>
    <t>Checking/Savings</t>
  </si>
  <si>
    <t>1 - Cash Checking</t>
  </si>
  <si>
    <t>0101 Education fund</t>
  </si>
  <si>
    <t>0107 CSGF</t>
  </si>
  <si>
    <t>0109 · Summer School</t>
  </si>
  <si>
    <t>0112 Indy Summer Learning Labs</t>
  </si>
  <si>
    <t>0113 TMT Literacy Grant</t>
  </si>
  <si>
    <t>0115 · Student Council</t>
  </si>
  <si>
    <t>0119 Earn Indiana</t>
  </si>
  <si>
    <t>0121 Business Club</t>
  </si>
  <si>
    <t>0125 AP Cambridge Grant</t>
  </si>
  <si>
    <t>0126 CSGF Project Spark Grant</t>
  </si>
  <si>
    <t>0128 Scholar trips</t>
  </si>
  <si>
    <t>0129 CSGF Literacy</t>
  </si>
  <si>
    <t>0130 Senior Fund</t>
  </si>
  <si>
    <t>0131 · TMT Fellowship Collaboration</t>
  </si>
  <si>
    <t>0133 Lilly Endowment</t>
  </si>
  <si>
    <t>0134 Work and Learn</t>
  </si>
  <si>
    <t>0136 Schwab grant</t>
  </si>
  <si>
    <t>3028 Formative Assessment</t>
  </si>
  <si>
    <t>3769 High Ability</t>
  </si>
  <si>
    <t>4150 Title I 25-26</t>
  </si>
  <si>
    <t>6880 Title III</t>
  </si>
  <si>
    <t>6893 · CSP Year 2 Implementation</t>
  </si>
  <si>
    <t>9080 403B Liabilities</t>
  </si>
  <si>
    <t>Total 1 - Cash Checking</t>
  </si>
  <si>
    <t>2 - Cash MMA &amp; Other</t>
  </si>
  <si>
    <t>0101 Educational fund</t>
  </si>
  <si>
    <t>Total 2 - Cash MMA &amp; Other</t>
  </si>
  <si>
    <t>3 · Petty cash</t>
  </si>
  <si>
    <t>0101 General fund</t>
  </si>
  <si>
    <t>Total 3 · Petty cash</t>
  </si>
  <si>
    <t>4 · Merchants Bank</t>
  </si>
  <si>
    <t>Total 4 · Merchants Bank</t>
  </si>
  <si>
    <t>Total Checking/Savings</t>
  </si>
  <si>
    <t>Accounts Receivable</t>
  </si>
  <si>
    <t>Total Accounts Receivable</t>
  </si>
  <si>
    <t>Other Current Assets</t>
  </si>
  <si>
    <t>Due from Build Believe</t>
  </si>
  <si>
    <t>Prepaids</t>
  </si>
  <si>
    <t>Total Other Current Assets</t>
  </si>
  <si>
    <t>Total Current Assets</t>
  </si>
  <si>
    <t>Fixed Assets</t>
  </si>
  <si>
    <t>45100 Leasehold improvements</t>
  </si>
  <si>
    <t>45100.720 Building CIP</t>
  </si>
  <si>
    <t>45100.450 Improvements</t>
  </si>
  <si>
    <t>Total 45100 Leasehold improvements</t>
  </si>
  <si>
    <t>46000 Purchases over Threshold</t>
  </si>
  <si>
    <t>46000/27400.734 Vehicles</t>
  </si>
  <si>
    <t>46000.735 Non-Tech equipment</t>
  </si>
  <si>
    <t>Total 46000 Purchases over Threshold</t>
  </si>
  <si>
    <t>Accumulated Depreciation</t>
  </si>
  <si>
    <t>Total Fixed Assets</t>
  </si>
  <si>
    <t>TOTAL ASSETS</t>
  </si>
  <si>
    <t>LIABILITIES &amp; EQUITY</t>
  </si>
  <si>
    <t>Liabilities</t>
  </si>
  <si>
    <t>Current Liabilities</t>
  </si>
  <si>
    <t>Accounts Payable</t>
  </si>
  <si>
    <t>Total Accounts Payable</t>
  </si>
  <si>
    <t>Other Current Liabilities</t>
  </si>
  <si>
    <t>Accrued expenses - Other</t>
  </si>
  <si>
    <t>Accrued Payroll</t>
  </si>
  <si>
    <t>92810.000 403b Withholding</t>
  </si>
  <si>
    <t>Total Other Current Liabilities</t>
  </si>
  <si>
    <t>Total Current Liabilities</t>
  </si>
  <si>
    <t>Long Term Liabilities</t>
  </si>
  <si>
    <t>CSGF Forgiveable Loan</t>
  </si>
  <si>
    <t>51200.831 Principal</t>
  </si>
  <si>
    <t>Total CSGF Forgiveable Loan</t>
  </si>
  <si>
    <t>Total Long Term Liabilities</t>
  </si>
  <si>
    <t>Total Liabilities</t>
  </si>
  <si>
    <t>Equity</t>
  </si>
  <si>
    <t>Net assets with Donor rest.</t>
  </si>
  <si>
    <t>Restricted net income</t>
  </si>
  <si>
    <t>Net Assets without donor rest.</t>
  </si>
  <si>
    <t>Net Income</t>
  </si>
  <si>
    <t>Total Equity</t>
  </si>
  <si>
    <t>TOTAL LIABILITIES &amp; EQUITY</t>
  </si>
  <si>
    <t>Apr - Jun 26</t>
  </si>
  <si>
    <t>Jul '25 - Jun 26</t>
  </si>
  <si>
    <t>Ordinary Income/Expense</t>
  </si>
  <si>
    <t>Income</t>
  </si>
  <si>
    <t>1110 · Property tax revenue</t>
  </si>
  <si>
    <t>1510 Interest income</t>
  </si>
  <si>
    <t>1741 Student Fees</t>
  </si>
  <si>
    <t>1920 Private Funding</t>
  </si>
  <si>
    <t>1994 Overpayments/Refunds</t>
  </si>
  <si>
    <t>1999 Other Income</t>
  </si>
  <si>
    <t>3101 Income From IPS</t>
  </si>
  <si>
    <t>3101 Reserve for ADM difference</t>
  </si>
  <si>
    <t>3114 Summer School</t>
  </si>
  <si>
    <t>3118 Charter Innovation Grant</t>
  </si>
  <si>
    <t>3198 Formative Assessment</t>
  </si>
  <si>
    <t>3230 · High Ability</t>
  </si>
  <si>
    <t>3293 Performance Grant</t>
  </si>
  <si>
    <t>3990 Other State grants</t>
  </si>
  <si>
    <t>4223 Federal Special Ed</t>
  </si>
  <si>
    <t>4291 Federal Lunch Reimb.</t>
  </si>
  <si>
    <t>4292 · Federal Breakfast Reimbursement</t>
  </si>
  <si>
    <t>4299 CSP</t>
  </si>
  <si>
    <t>4514 Title I</t>
  </si>
  <si>
    <t>4550 · Title IV</t>
  </si>
  <si>
    <t>4592 Title II</t>
  </si>
  <si>
    <t>4990 Other Federal Revenue</t>
  </si>
  <si>
    <t>4990 Title III</t>
  </si>
  <si>
    <t>Total 4990 Other Federal Revenue</t>
  </si>
  <si>
    <t>5200 · Transfer from another fund</t>
  </si>
  <si>
    <t>5203 · Transfer Education to Operation</t>
  </si>
  <si>
    <t>6410 · Claims for losses</t>
  </si>
  <si>
    <t>Total Income</t>
  </si>
  <si>
    <t>Gross Profit</t>
  </si>
  <si>
    <t>Expense</t>
  </si>
  <si>
    <t>60100.910 Transfer to another f</t>
  </si>
  <si>
    <t>60103.910 Trans Edu to Oper</t>
  </si>
  <si>
    <t>11300 - High School</t>
  </si>
  <si>
    <t>11300.110 - Salary &amp; Wages Cert</t>
  </si>
  <si>
    <t>11300.120 Salaries of inst aide</t>
  </si>
  <si>
    <t>11300.120 - Salaries Non-Cert</t>
  </si>
  <si>
    <t>11300.120 - Aide Stipend</t>
  </si>
  <si>
    <t>11300.130 Inst Services - Subs</t>
  </si>
  <si>
    <t>11300.142 - Teacher Stipend</t>
  </si>
  <si>
    <t>11300.211 - Social Sec Non-Cert</t>
  </si>
  <si>
    <t>11300.211 - Social Sec Cert</t>
  </si>
  <si>
    <t>11300.222 - Group Insurance</t>
  </si>
  <si>
    <t>11300.230 - Unemployment</t>
  </si>
  <si>
    <t>11300.290 - Other Benefits</t>
  </si>
  <si>
    <t>11300.311 Cultural Celebrations</t>
  </si>
  <si>
    <t>11300.311 - Field Trips</t>
  </si>
  <si>
    <t>11300.311 - Free F/ECA/Cult/Lev</t>
  </si>
  <si>
    <t>11300.311 - Level-Up</t>
  </si>
  <si>
    <t>11300.311 - Senior Class</t>
  </si>
  <si>
    <t>11300.311 - Student Council</t>
  </si>
  <si>
    <t>11300.319 - Professional Servic</t>
  </si>
  <si>
    <t>11300.319 Project Spark</t>
  </si>
  <si>
    <t>11300.319 Earn &amp; Learn</t>
  </si>
  <si>
    <t>11300.319 ISLL</t>
  </si>
  <si>
    <t>11300.519 - Transportation</t>
  </si>
  <si>
    <t>11300.611 - Classroom Supplies</t>
  </si>
  <si>
    <t>11300.614 - Student Lunch Exp</t>
  </si>
  <si>
    <t>11300.630 Curricular Materials</t>
  </si>
  <si>
    <t>11300.630 Inst Svcs - Info Syst</t>
  </si>
  <si>
    <t>11300.655 - Content</t>
  </si>
  <si>
    <t>11300.656 - Software</t>
  </si>
  <si>
    <t>11300.660 Uniforms</t>
  </si>
  <si>
    <t>11300.810 - Assessments</t>
  </si>
  <si>
    <t>Total 11300 - High School</t>
  </si>
  <si>
    <t>12150 - High Ability</t>
  </si>
  <si>
    <t>12150.611 High Ability Supplies</t>
  </si>
  <si>
    <t>Total 12150 - High Ability</t>
  </si>
  <si>
    <t>12610 - SPED Services</t>
  </si>
  <si>
    <t>12610.110 Certified salaries</t>
  </si>
  <si>
    <t>12610.120 Salaries Non-Cert</t>
  </si>
  <si>
    <t>12610.142 Teacher Stipend</t>
  </si>
  <si>
    <t>12610.211 - Social Sec Non-Cert</t>
  </si>
  <si>
    <t>12610.211 - Social Sec Cert</t>
  </si>
  <si>
    <t>12610.222 Group Insurance</t>
  </si>
  <si>
    <t>12610.223 Accident Insurance</t>
  </si>
  <si>
    <t>12610.290 - Other Benefits</t>
  </si>
  <si>
    <t>12610.319 Professional Services</t>
  </si>
  <si>
    <t>Total 12610 - SPED Services</t>
  </si>
  <si>
    <t>17100 Transfer Tuition</t>
  </si>
  <si>
    <t>17100.319 Dual Enrollment</t>
  </si>
  <si>
    <t>Total 17100 Transfer Tuition</t>
  </si>
  <si>
    <t>21220 - Counseling Services</t>
  </si>
  <si>
    <t>21220.110 Certified Salaries</t>
  </si>
  <si>
    <t>21220.120 Non-Cert Salaries</t>
  </si>
  <si>
    <t>21220.120 NC Stipends</t>
  </si>
  <si>
    <t>21220.211 Social Security Cert</t>
  </si>
  <si>
    <t>21220.211 Social Sec Non-Cert</t>
  </si>
  <si>
    <t>21220.222 Group Health Ins</t>
  </si>
  <si>
    <t>21220.290 Other Benefits</t>
  </si>
  <si>
    <t>Total 21220 - Counseling Services</t>
  </si>
  <si>
    <t>21340 - Nurse Services</t>
  </si>
  <si>
    <t>21340.319 - Nurse Services</t>
  </si>
  <si>
    <t>21340.611 - Supplies</t>
  </si>
  <si>
    <t>Total 21340 - Nurse Services</t>
  </si>
  <si>
    <t>22130 - Instr Staff Training</t>
  </si>
  <si>
    <t>22130.312 Professional Dev</t>
  </si>
  <si>
    <t>22130.580 Travel</t>
  </si>
  <si>
    <t>22130.611 - Supplies</t>
  </si>
  <si>
    <t>22130.614 Food</t>
  </si>
  <si>
    <t>Total 22130 - Instr Staff Training</t>
  </si>
  <si>
    <t>22360 - Network Support</t>
  </si>
  <si>
    <t>22360.319 Technology Services</t>
  </si>
  <si>
    <t>22360.431 Repairs &amp; Maint</t>
  </si>
  <si>
    <t>22360.530 - Connectivity</t>
  </si>
  <si>
    <t>22360.611 IT Supplies</t>
  </si>
  <si>
    <t>22360.656 Software</t>
  </si>
  <si>
    <t>Total 22360 - Network Support</t>
  </si>
  <si>
    <t>23220 - Community Relations</t>
  </si>
  <si>
    <t>23220.540 - Advertising</t>
  </si>
  <si>
    <t>23220.611 Supplies</t>
  </si>
  <si>
    <t>Total 23220 - Community Relations</t>
  </si>
  <si>
    <t>24100 - Office of the Principal</t>
  </si>
  <si>
    <t>24100.110 - Salaries Certified</t>
  </si>
  <si>
    <t>24100.120 - Salaries Non-Cert</t>
  </si>
  <si>
    <t>24100.211 - Soc Sec Non-Cert</t>
  </si>
  <si>
    <t>24100.221 Life Insurance</t>
  </si>
  <si>
    <t>24100.222 - Group Insurance</t>
  </si>
  <si>
    <t>24100.290 - Other benefits</t>
  </si>
  <si>
    <t>24100.319 - Other Prof/Tech Srv</t>
  </si>
  <si>
    <t>24100.530 - Postage</t>
  </si>
  <si>
    <t>24100.530 - Telephone Expense</t>
  </si>
  <si>
    <t>24100.550 - Printing</t>
  </si>
  <si>
    <t>24100.580 - Travel</t>
  </si>
  <si>
    <t>24100.611 - Supplies</t>
  </si>
  <si>
    <t>24100.655 - Content</t>
  </si>
  <si>
    <t>24100.810 - Dues &amp; Fees</t>
  </si>
  <si>
    <t>Total 24100 - Office of the Principal</t>
  </si>
  <si>
    <t>24900 - Other Support Svcs</t>
  </si>
  <si>
    <t>24900.110 - Salaries Certified</t>
  </si>
  <si>
    <t>24900.110 Other Cert Stipends</t>
  </si>
  <si>
    <t>24900.211 - Social Sec Non-Cert</t>
  </si>
  <si>
    <t>24900.211 - Social Sec Cert</t>
  </si>
  <si>
    <t>24900.222 - Group Insurance</t>
  </si>
  <si>
    <t>24900.290 - Other Benefits</t>
  </si>
  <si>
    <t>Total 24900 - Other Support Svcs</t>
  </si>
  <si>
    <t>25110 Office of the Busi Manage</t>
  </si>
  <si>
    <t>25110.319 - Authorizer Fee</t>
  </si>
  <si>
    <t>Total 25110 Office of the Busi Manage</t>
  </si>
  <si>
    <t>25150 - Payroll Service</t>
  </si>
  <si>
    <t>25150.316 - Payroll Processing</t>
  </si>
  <si>
    <t>Total 25150 - Payroll Service</t>
  </si>
  <si>
    <t>25160 - Accounting Fees</t>
  </si>
  <si>
    <t>25160.319 - Accounting Fees</t>
  </si>
  <si>
    <t>25160.611 - Accounting Supplies</t>
  </si>
  <si>
    <t>Total 25160 - Accounting Fees</t>
  </si>
  <si>
    <t>25191 Refund of Revenue</t>
  </si>
  <si>
    <t>25191.910 Refund of Revenue</t>
  </si>
  <si>
    <t>Total 25191 Refund of Revenue</t>
  </si>
  <si>
    <t>25195 Bank Charges</t>
  </si>
  <si>
    <t>25195.871 Bank Charges</t>
  </si>
  <si>
    <t>Total 25195 Bank Charges</t>
  </si>
  <si>
    <t>25720 - Recruitment &amp; Placement</t>
  </si>
  <si>
    <t>25720.319 Other Prof/Tech Serv</t>
  </si>
  <si>
    <t>25720.319 - Background Checks</t>
  </si>
  <si>
    <t>25720.540 - Advertising</t>
  </si>
  <si>
    <t>25720.614 Food</t>
  </si>
  <si>
    <t>Total 25720 - Recruitment &amp; Placement</t>
  </si>
  <si>
    <t>26200 - Maintenance of Building</t>
  </si>
  <si>
    <t>26200.120 -Facilities PT or Sti</t>
  </si>
  <si>
    <t>26200.211 - PR Taxes - Non-Cert</t>
  </si>
  <si>
    <t>26200.222 Group Insurance</t>
  </si>
  <si>
    <t>26200.319 - Other Prof/Tech Srv</t>
  </si>
  <si>
    <t>26200.411 - Waste and Water</t>
  </si>
  <si>
    <t>26200.412 - Removal of Refuse</t>
  </si>
  <si>
    <t>26200.420 - Cleaning</t>
  </si>
  <si>
    <t>26200.430 - Building Maintenanc</t>
  </si>
  <si>
    <t>26200.431 Non-Tech Maintenance</t>
  </si>
  <si>
    <t>26200.441 - Building Lease</t>
  </si>
  <si>
    <t>26200.444 - Non Tech Rental</t>
  </si>
  <si>
    <t>26200.611 Operational Supplies</t>
  </si>
  <si>
    <t>26200.621 - Electricity</t>
  </si>
  <si>
    <t>26200.622 - Gas</t>
  </si>
  <si>
    <t>Total 26200 - Maintenance of Building</t>
  </si>
  <si>
    <t>26300 Maintenance of Grounds</t>
  </si>
  <si>
    <t>26300.319 Professional Services</t>
  </si>
  <si>
    <t>Total 26300 Maintenance of Grounds</t>
  </si>
  <si>
    <t>26600 - Security Services</t>
  </si>
  <si>
    <t>26600.319 - Professional Svcs</t>
  </si>
  <si>
    <t>26600.530 - Monitoring Services</t>
  </si>
  <si>
    <t>Total 26600 - Security Services</t>
  </si>
  <si>
    <t>26700 - Insurance</t>
  </si>
  <si>
    <t>26700.520 - Insurance Expense</t>
  </si>
  <si>
    <t>Total 26700 - Insurance</t>
  </si>
  <si>
    <t>27100 Vehicle Operation</t>
  </si>
  <si>
    <t>27100.120 Bus Driver</t>
  </si>
  <si>
    <t>27100.211 Soc Sec-Non-Cert</t>
  </si>
  <si>
    <t>27100.222 Employee Insurance</t>
  </si>
  <si>
    <t>27100.319 Professional Servic</t>
  </si>
  <si>
    <t>27100.810 Dues</t>
  </si>
  <si>
    <t>Total 27100 Vehicle Operation</t>
  </si>
  <si>
    <t>27300 Vehicle Service &amp; Maint</t>
  </si>
  <si>
    <t>27300.613 Gas &amp; Maintenance</t>
  </si>
  <si>
    <t>Total 27300 Vehicle Service &amp; Maint</t>
  </si>
  <si>
    <t>27700 - Contracted Trans Serv</t>
  </si>
  <si>
    <t>27700.120 Non-Certified</t>
  </si>
  <si>
    <t>27700.120 Other NC Stipends</t>
  </si>
  <si>
    <t>27700.211 Soc Sec Non-Cert</t>
  </si>
  <si>
    <t>27700.222 Group Insurance</t>
  </si>
  <si>
    <t>27700.290 Retirement</t>
  </si>
  <si>
    <t>27700.319 Transportation Servic</t>
  </si>
  <si>
    <t>27700.519 - Student Transportat</t>
  </si>
  <si>
    <t>27700.613 Reimbursement</t>
  </si>
  <si>
    <t>27700.810 Dues</t>
  </si>
  <si>
    <t>Total 27700 - Contracted Trans Serv</t>
  </si>
  <si>
    <t>31200 - Food Prep &amp; Dispensing</t>
  </si>
  <si>
    <t>31200.120 - Food Serv Non-Cert</t>
  </si>
  <si>
    <t>31200.120- Aide Stipend</t>
  </si>
  <si>
    <t>31200.120 Other NC Stipends</t>
  </si>
  <si>
    <t>31200.211 - Social Sec Non-Cert</t>
  </si>
  <si>
    <t>31200.222 - Group Insurance</t>
  </si>
  <si>
    <t>31200.290 403b</t>
  </si>
  <si>
    <t>31200.611 Supplies</t>
  </si>
  <si>
    <t>31200.810 Due and Fees</t>
  </si>
  <si>
    <t>Total 31200 - Food Prep &amp; Dispensing</t>
  </si>
  <si>
    <t>31400 - Food Services</t>
  </si>
  <si>
    <t>31400.614 - Student Lunch</t>
  </si>
  <si>
    <t>Total 31400 - Food Services</t>
  </si>
  <si>
    <t>31900 - Other Food Service</t>
  </si>
  <si>
    <t>31900.614 -Other Food Purchase</t>
  </si>
  <si>
    <t>Total 31900 - Other Food Service</t>
  </si>
  <si>
    <t>33400 -  Athletic Coaches</t>
  </si>
  <si>
    <t>33400.211 Soc Sec Non-Cert</t>
  </si>
  <si>
    <t>33400.120 Other NC Stipends</t>
  </si>
  <si>
    <t>33400.319 Other Prof/Tech Serv</t>
  </si>
  <si>
    <t>Total 33400 -  Athletic Coaches</t>
  </si>
  <si>
    <t>33440 - Athletic Coaches</t>
  </si>
  <si>
    <t>33440.120 Other NC Stipends</t>
  </si>
  <si>
    <t>33440.211 - Social Sec Non-Cert</t>
  </si>
  <si>
    <t>Total 33440 - Athletic Coaches</t>
  </si>
  <si>
    <t>33990 - Extra-Curricular</t>
  </si>
  <si>
    <t>33990.319 Professional Svcs</t>
  </si>
  <si>
    <t>33990.444 Rent</t>
  </si>
  <si>
    <t>33990.611 - ECA supplies</t>
  </si>
  <si>
    <t>33990.614 ECA Food</t>
  </si>
  <si>
    <t>33990.810 ECA Dues &amp; Fees</t>
  </si>
  <si>
    <t>Total 33990 - Extra-Curricular</t>
  </si>
  <si>
    <t>46000 - Movable Equipment</t>
  </si>
  <si>
    <t>46000.655 - Supplies-Technology</t>
  </si>
  <si>
    <t>Total 46000 - Movable Equipment</t>
  </si>
  <si>
    <t>Total Expense</t>
  </si>
  <si>
    <t>Net Ordinary Income</t>
  </si>
  <si>
    <t>Other Income/Expense</t>
  </si>
  <si>
    <t>Other Expense</t>
  </si>
  <si>
    <t>Depreciation Expense</t>
  </si>
  <si>
    <t>Total Other Expense</t>
  </si>
  <si>
    <t>Net Other Income</t>
  </si>
  <si>
    <t>0115 Student Council</t>
  </si>
  <si>
    <t>0122 HBCU Trip</t>
  </si>
  <si>
    <t>0126 CSGF Project Spark</t>
  </si>
  <si>
    <t>0136 Schwab Grant</t>
  </si>
  <si>
    <t>0160 Referendum</t>
  </si>
  <si>
    <t>0300 Operations fund</t>
  </si>
  <si>
    <t>0312 Summer Learning</t>
  </si>
  <si>
    <t>0800 - Lunch Fund</t>
  </si>
  <si>
    <t>3750 Teacher Performance</t>
  </si>
  <si>
    <t>3951 Charter Innovation</t>
  </si>
  <si>
    <t>5803 Title IV 24-26</t>
  </si>
  <si>
    <t>6844 Title II 24-26</t>
  </si>
  <si>
    <t>6892 CSP Yr 1</t>
  </si>
  <si>
    <t>6893 CSP year 2 implem.</t>
  </si>
  <si>
    <t>TOTAL</t>
  </si>
  <si>
    <t>0109 Summer School</t>
  </si>
  <si>
    <t>0315 Student Council</t>
  </si>
  <si>
    <t>4140 Title I 24-25</t>
  </si>
  <si>
    <t>5204 Special Ed 24-26</t>
  </si>
  <si>
    <t>5802 Title IV 23-25</t>
  </si>
  <si>
    <t>6843 Title II 23-25</t>
  </si>
  <si>
    <t>6880 - Title III</t>
  </si>
  <si>
    <t>Budget</t>
  </si>
  <si>
    <t>$ Over Budget</t>
  </si>
  <si>
    <t>% of Budget</t>
  </si>
  <si>
    <t>3151 State lunch Match</t>
  </si>
  <si>
    <t>3199 Remediation/Prev</t>
  </si>
  <si>
    <t>3271 STEM</t>
  </si>
  <si>
    <t>3910 Textbook Reimb.</t>
  </si>
  <si>
    <t>3990 ICAP</t>
  </si>
  <si>
    <t>4597 McKinney Homeless Act</t>
  </si>
  <si>
    <t>11300.110 ISLL Salaries</t>
  </si>
  <si>
    <t>21220.211 - Payroll Taxes Cert</t>
  </si>
  <si>
    <t>23150 - Legal Fees</t>
  </si>
  <si>
    <t>23150.319 - Legal Fees</t>
  </si>
  <si>
    <t>Total 23150 - Legal Fees</t>
  </si>
  <si>
    <t>23190 Board Expenses</t>
  </si>
  <si>
    <t>23190.312 Board Training</t>
  </si>
  <si>
    <t>Total 23190 Board Expenses</t>
  </si>
  <si>
    <t>23220.540 - Recruitment</t>
  </si>
  <si>
    <t>24900.110 Other Cert. Staff</t>
  </si>
  <si>
    <t>24900.212 - Payroll Taxes-Cert</t>
  </si>
  <si>
    <t>52200.832 - Interest Expense</t>
  </si>
  <si>
    <t>Believe Circle City High School</t>
  </si>
  <si>
    <t>June 2026 Cash Flow</t>
  </si>
  <si>
    <t>Students:</t>
  </si>
  <si>
    <t>Carryover from prior year</t>
  </si>
  <si>
    <t>ADM:</t>
  </si>
  <si>
    <t>Projected</t>
  </si>
  <si>
    <t>True up mth</t>
  </si>
  <si>
    <t>True up months</t>
  </si>
  <si>
    <t>Amounts</t>
  </si>
  <si>
    <t>Jan</t>
  </si>
  <si>
    <t>April</t>
  </si>
  <si>
    <t>2025-2026</t>
  </si>
  <si>
    <t>From Detail</t>
  </si>
  <si>
    <t>VARIANCE</t>
  </si>
  <si>
    <t>NOTES</t>
  </si>
  <si>
    <t>Actual</t>
  </si>
  <si>
    <t>ADM400</t>
  </si>
  <si>
    <t>ADM 330</t>
  </si>
  <si>
    <t>ADM 307</t>
  </si>
  <si>
    <t>paid at 400</t>
  </si>
  <si>
    <t>Paid at 307</t>
  </si>
  <si>
    <t>Paid at 292</t>
  </si>
  <si>
    <t>ADM292</t>
  </si>
  <si>
    <t>ADM 292</t>
  </si>
  <si>
    <t>INCOME</t>
  </si>
  <si>
    <t>Paying at 400</t>
  </si>
  <si>
    <t>3111/3101</t>
  </si>
  <si>
    <t>Basic Grant</t>
  </si>
  <si>
    <t>Monthly income from IPS-For July IPS is paying at 400 ADM we are booking a reserve to income monthly for difference between 400 and 300-Count day count was 307 so I adjusted the true-up and future months to reflect that.-IPS to do true up over 4 months per Teagan.</t>
  </si>
  <si>
    <t>Summer School</t>
  </si>
  <si>
    <t>Summer school income</t>
  </si>
  <si>
    <t>Referendum funding</t>
  </si>
  <si>
    <t>NESP Grant</t>
  </si>
  <si>
    <t>Based on August 54 report-This is now included in the IPS payment monthly</t>
  </si>
  <si>
    <t>State Basic Support</t>
  </si>
  <si>
    <t>Vocational Grant (CTE)</t>
  </si>
  <si>
    <t>CTE grant - included on 54 report</t>
  </si>
  <si>
    <t>Total CTE</t>
  </si>
  <si>
    <t>State Matching Funds</t>
  </si>
  <si>
    <t>State does not pay this out any longer</t>
  </si>
  <si>
    <t>Federal Lunch Program</t>
  </si>
  <si>
    <t>Federal Breakfast Reimb</t>
  </si>
  <si>
    <t>Federal Snack Reimb</t>
  </si>
  <si>
    <t>Student Lunch Revenue</t>
  </si>
  <si>
    <t>Private Funding</t>
  </si>
  <si>
    <t>July was TMT</t>
  </si>
  <si>
    <t>Elevation Grant</t>
  </si>
  <si>
    <t>Contribution Income</t>
  </si>
  <si>
    <t>Technology Grant</t>
  </si>
  <si>
    <t>Innovation Grant</t>
  </si>
  <si>
    <t>changed calculation to 307 ADM at $1400 per student</t>
  </si>
  <si>
    <t>Formative Assessment</t>
  </si>
  <si>
    <t>Remediation/Prev</t>
  </si>
  <si>
    <t>High Ability</t>
  </si>
  <si>
    <t>STEM</t>
  </si>
  <si>
    <t>Performance Grant</t>
  </si>
  <si>
    <t>Per DOE this may not be paid until April.-Allocation based on memo from DOE</t>
  </si>
  <si>
    <t>3xxx</t>
  </si>
  <si>
    <t>Pike Referendum</t>
  </si>
  <si>
    <t>Other State -Earn</t>
  </si>
  <si>
    <t>Other State - iCap</t>
  </si>
  <si>
    <t>Other - Property Tax revenue</t>
  </si>
  <si>
    <t>The amount booked for February is based on estimated provided by Marion Co.</t>
  </si>
  <si>
    <t>McKinney-Vento</t>
  </si>
  <si>
    <t>Title I</t>
  </si>
  <si>
    <t>July receipt is from 24-25 grant.</t>
  </si>
  <si>
    <t>Title IV</t>
  </si>
  <si>
    <t>Title II</t>
  </si>
  <si>
    <t>Federal APC SPED</t>
  </si>
  <si>
    <t>Title III</t>
  </si>
  <si>
    <t>Other Federal Grants-CSP</t>
  </si>
  <si>
    <t>October estimate is what was submitted for grant reimbursement-January may need to pay $37277.60 back</t>
  </si>
  <si>
    <t>Prof Dev / Federal Grants</t>
  </si>
  <si>
    <t>Interest Income</t>
  </si>
  <si>
    <t>Textbook Reimbursement</t>
  </si>
  <si>
    <t>Doe does not reimburse for this anymore</t>
  </si>
  <si>
    <t>Student Fees</t>
  </si>
  <si>
    <t>All student Athletic and club fees</t>
  </si>
  <si>
    <t>E-Rate</t>
  </si>
  <si>
    <t>Other Income</t>
  </si>
  <si>
    <t>Received transfer of $100K. -This was paid back out in September so there is a negative offset with United Heathcare refund.</t>
  </si>
  <si>
    <t>Refunds</t>
  </si>
  <si>
    <t>Insurance claim check-November is opportunity grant to be paid back to St.  Louis in Dec.</t>
  </si>
  <si>
    <t>Instructional Expenses</t>
  </si>
  <si>
    <t>Certified Sal.-Includes Washington and Lewis&amp;McInt</t>
  </si>
  <si>
    <t>All instructional certified teachers from school salary schedule</t>
  </si>
  <si>
    <t>Non-Certified Salaries</t>
  </si>
  <si>
    <t>All instructional non-certified teachers from school salary schedule plus 1099 employees</t>
  </si>
  <si>
    <t>xxxxx</t>
  </si>
  <si>
    <t>xxx</t>
  </si>
  <si>
    <t>ISLL salaries</t>
  </si>
  <si>
    <t>These are all Indy summer league stipends</t>
  </si>
  <si>
    <t>Certified Salaries Messer</t>
  </si>
  <si>
    <t>Special education position certified and non</t>
  </si>
  <si>
    <t>xxxx</t>
  </si>
  <si>
    <t>Staff Bonuses/stipends</t>
  </si>
  <si>
    <t>Bonuses provided from school-Some included from TAG grant-TAG bonuses paid in December</t>
  </si>
  <si>
    <t>Salaries &amp; Wages</t>
  </si>
  <si>
    <t>Payroll Taxes - NonCert</t>
  </si>
  <si>
    <t>Non-Certified instructional taxes</t>
  </si>
  <si>
    <t>Payroll Taxes - Cert</t>
  </si>
  <si>
    <t>Certified instructional taxes</t>
  </si>
  <si>
    <t>Employee Insurance</t>
  </si>
  <si>
    <t>Insurance from salaries summary-Premiums paid in July are for August</t>
  </si>
  <si>
    <t>Unemploy Tax</t>
  </si>
  <si>
    <t>Unemployment tax from salaries summary</t>
  </si>
  <si>
    <t>403B</t>
  </si>
  <si>
    <t>403B benefits from salaries summary-Annual contribution paid around September</t>
  </si>
  <si>
    <t>Payroll Taxes &amp; Benefits</t>
  </si>
  <si>
    <t>Classroom Supplies</t>
  </si>
  <si>
    <t>December includes SchoolMint Title I expense-February includes Franklin Covey</t>
  </si>
  <si>
    <t>Textbooks/Instr. Svcs-info</t>
  </si>
  <si>
    <t>College Board-$5800 AP exams, Carnegie in July.-In Sept Vista Learning, WW Horton and Go Scholars.</t>
  </si>
  <si>
    <t>Content</t>
  </si>
  <si>
    <t>Software</t>
  </si>
  <si>
    <t>Reading Futures-$43662, Edmentum-$26560.00, Infinite Campus-$9249.35 in July-Tutors for us in Dec</t>
  </si>
  <si>
    <t>Supplies/Materials/Equipment</t>
  </si>
  <si>
    <t>Substitute Teacher</t>
  </si>
  <si>
    <t>Instruction Services</t>
  </si>
  <si>
    <t>Tuition transfer/dual enrollment</t>
  </si>
  <si>
    <t>Dual Enrollment - IVY Tech-Paid large payment in July.-As of 9/30 balance is $129K plus adding in $3268.47 every month for till 12/25 for Fall 2025 amount at $39K-Actual payments are in loan row 203, KLR Medical Cert. in January</t>
  </si>
  <si>
    <t>Professional Services-External providers</t>
  </si>
  <si>
    <t>Student Facing External providers -- Asante, Driving new ambitions AP Biology in July-Asante in Dec and Level Data</t>
  </si>
  <si>
    <t>Project Spark</t>
  </si>
  <si>
    <t>Earn &amp; Learn</t>
  </si>
  <si>
    <t>ISLL Stipends</t>
  </si>
  <si>
    <t>ISLL stipends</t>
  </si>
  <si>
    <t>Special Ed Services</t>
  </si>
  <si>
    <t>November is SPEDACTS for October and $6500 annual plus Progressive-Dec SPED acts 2  months</t>
  </si>
  <si>
    <t>Professional Services</t>
  </si>
  <si>
    <t>Travel</t>
  </si>
  <si>
    <t>This is for teachers professional dev. Travel.</t>
  </si>
  <si>
    <t>Supplies</t>
  </si>
  <si>
    <t>Supplies for teacher professional development</t>
  </si>
  <si>
    <t>Food</t>
  </si>
  <si>
    <t>Food for teacher professional development</t>
  </si>
  <si>
    <t>Professional Development</t>
  </si>
  <si>
    <t>Fees for professional development classes-Credit for October is payback from CMO on PD costs</t>
  </si>
  <si>
    <t>Training Expenses</t>
  </si>
  <si>
    <t>Class Trips (Accomodations and Activities)</t>
  </si>
  <si>
    <t>Covers any fees for class trips-YMCA Swim time in November</t>
  </si>
  <si>
    <t>XXXX</t>
  </si>
  <si>
    <t>Class Trips ISLL/Project spark</t>
  </si>
  <si>
    <t>Covers food for student class trips</t>
  </si>
  <si>
    <t>Uniforms</t>
  </si>
  <si>
    <t>Cost of uniforms</t>
  </si>
  <si>
    <t>Freedom Friday</t>
  </si>
  <si>
    <t>Freedom Friday-February included Senior class trip per Teagan put to this line.</t>
  </si>
  <si>
    <t>Cultural Celebrations</t>
  </si>
  <si>
    <t>Level-Up</t>
  </si>
  <si>
    <t>Senior Class</t>
  </si>
  <si>
    <r>
      <t>Senior Class-Airline fees in January-</t>
    </r>
    <r>
      <rPr>
        <sz val="8"/>
        <color rgb="FFFF0000"/>
        <rFont val="Arial"/>
        <family val="2"/>
      </rPr>
      <t>Moved to line 89 per Teagan.</t>
    </r>
  </si>
  <si>
    <t>Student Council</t>
  </si>
  <si>
    <t>Class Trip Travel and Transportation</t>
  </si>
  <si>
    <t>Covers the bus fees for EOY School trips</t>
  </si>
  <si>
    <t>Freedom Friday (Transportation and Activities)</t>
  </si>
  <si>
    <t>Covers the bus fees for Freedom Friday trips or field trips</t>
  </si>
  <si>
    <t>Dues &amp; Fees</t>
  </si>
  <si>
    <t>Other Expenses</t>
  </si>
  <si>
    <t>Total Instructional Expense</t>
  </si>
  <si>
    <t>General &amp; Administrative</t>
  </si>
  <si>
    <t>Cert Admin Salary</t>
  </si>
  <si>
    <t>Certified Administrative positions</t>
  </si>
  <si>
    <t>Non-Cert Admin Salary-Baluyot</t>
  </si>
  <si>
    <t>Non-Certified Administrative positions-No one is being coded here</t>
  </si>
  <si>
    <t>Non-Cert Admin Salary</t>
  </si>
  <si>
    <t>Non-Certified Administrative positions-ISLL</t>
  </si>
  <si>
    <t>Certified  Salary</t>
  </si>
  <si>
    <t>Principal-Jackson</t>
  </si>
  <si>
    <t>Certified - Dean Brookshier</t>
  </si>
  <si>
    <t>Dean-Brookshier</t>
  </si>
  <si>
    <t>This includes</t>
  </si>
  <si>
    <t>Certified  Salary-ISLL</t>
  </si>
  <si>
    <t>Principal-ISLL stipendPer Amanda need to take out of salaries and put in stipend</t>
  </si>
  <si>
    <t>Certified  Salary-Bullock and Hawkins</t>
  </si>
  <si>
    <t>Social Work Cert positions</t>
  </si>
  <si>
    <t>Social Work Cert position-ISLL stipend</t>
  </si>
  <si>
    <t>Admin Bonuses</t>
  </si>
  <si>
    <t>Bonuses provided from school</t>
  </si>
  <si>
    <t>Payroll Taxes - Non-Cert</t>
  </si>
  <si>
    <t>Non-Certified positions taxes</t>
  </si>
  <si>
    <t>Certified positions taxes</t>
  </si>
  <si>
    <t>TRF Expense</t>
  </si>
  <si>
    <t>All Administrative insurance, Health, dental, vision, life.</t>
  </si>
  <si>
    <t>State unemployment taxes</t>
  </si>
  <si>
    <t>Retirement benefits-Annual contribution is paid in September.</t>
  </si>
  <si>
    <t>Principal taxes</t>
  </si>
  <si>
    <t>Principal insurance-July was a prepaid for August premiums that will get broken out.</t>
  </si>
  <si>
    <t>Principal retirement</t>
  </si>
  <si>
    <t>Postage</t>
  </si>
  <si>
    <t>Postage expense for mailings</t>
  </si>
  <si>
    <t>Printing</t>
  </si>
  <si>
    <t>Any printing costs</t>
  </si>
  <si>
    <t>Nurse Supplies</t>
  </si>
  <si>
    <t>This will cover all nursing supplies and supplies.</t>
  </si>
  <si>
    <t>Office supplies, paper, miscellaenous supplies used by Administration</t>
  </si>
  <si>
    <t>Dues and Fees</t>
  </si>
  <si>
    <t>This includes chamber of commerce fees</t>
  </si>
  <si>
    <t>Supplies/Materials/Equip</t>
  </si>
  <si>
    <t>Legal Fees</t>
  </si>
  <si>
    <t>Legal expense</t>
  </si>
  <si>
    <t>Board Training</t>
  </si>
  <si>
    <t>Board training - BOT fees-</t>
  </si>
  <si>
    <t>Nurse Services</t>
  </si>
  <si>
    <t>Did not budget for nurse but we are using Avel eCare</t>
  </si>
  <si>
    <t>Robin Frost Bess, Tanesia Simmons and Silphium in July-VanWalle OEI audit-November includes Franklin Covey</t>
  </si>
  <si>
    <t>Authorizer Fees</t>
  </si>
  <si>
    <t>Authorizer fee Paid twice a year</t>
  </si>
  <si>
    <t>CMO Fees</t>
  </si>
  <si>
    <t>CMO fee-This will be at 10% per Teagan and paid quarterly starting 7/25.-Will be 8% 26-27</t>
  </si>
  <si>
    <t>Paychex Fee</t>
  </si>
  <si>
    <t>Payroll fees</t>
  </si>
  <si>
    <t>Accting Supplies/fees</t>
  </si>
  <si>
    <t>May and June BPI and 2 payments to Donovan for audit in July-$17700 paid to Donovan in Sept.</t>
  </si>
  <si>
    <t>Accting Fees</t>
  </si>
  <si>
    <t>This is for BPI, CEIS, Donovan,</t>
  </si>
  <si>
    <t>Bank Fees</t>
  </si>
  <si>
    <t>Advertising intern</t>
  </si>
  <si>
    <t>Recruitment and Advertising</t>
  </si>
  <si>
    <t>Recruitment materials/swag purchased for the year.Chameleon in July</t>
  </si>
  <si>
    <t>Print</t>
  </si>
  <si>
    <t>Community Relations</t>
  </si>
  <si>
    <t>Administrative travel or mileage reimbursement.</t>
  </si>
  <si>
    <t>Refund of Revenue</t>
  </si>
  <si>
    <t>TFA and ITF fees</t>
  </si>
  <si>
    <t>Teach For America fees</t>
  </si>
  <si>
    <t>Emp &amp; Place Ad</t>
  </si>
  <si>
    <t>Employee placement ads</t>
  </si>
  <si>
    <t>Advertising</t>
  </si>
  <si>
    <t>Total General/Admin</t>
  </si>
  <si>
    <t>Facilities Expense</t>
  </si>
  <si>
    <t>Equipment</t>
  </si>
  <si>
    <t xml:space="preserve">Furniture or new equipment needed </t>
  </si>
  <si>
    <t>Janitorial Supplies</t>
  </si>
  <si>
    <t>Cleaning supplies</t>
  </si>
  <si>
    <t>Building Maint Supplies</t>
  </si>
  <si>
    <t>Grounds maintenance supplies</t>
  </si>
  <si>
    <t>Building Rental</t>
  </si>
  <si>
    <t>Lease payment</t>
  </si>
  <si>
    <t>Non Tech Rental</t>
  </si>
  <si>
    <t>Building Improvements</t>
  </si>
  <si>
    <t>July is Midwest Remediation-November is Spec Athletic gym floor balance</t>
  </si>
  <si>
    <t>Rent/Leasehold Improvements</t>
  </si>
  <si>
    <t>Facilities PT or Stipend</t>
  </si>
  <si>
    <t>Facilities PT/Stipend</t>
  </si>
  <si>
    <t>Taxes for Facilities PT/Stipend</t>
  </si>
  <si>
    <t>403B for Facilities PT/Stipend</t>
  </si>
  <si>
    <t>Cleaning Services including 26200.120 L. Mayes</t>
  </si>
  <si>
    <t>Cleaning services 2 the Max-In October we paid for both September and October fees.</t>
  </si>
  <si>
    <t>Bldg Mtnc/Repairs</t>
  </si>
  <si>
    <t>Repairs to building-Midwest remediation in July-Siemems Sprinkler leak, fire alarm-March wa HVAC</t>
  </si>
  <si>
    <t>Equipment Repair</t>
  </si>
  <si>
    <t>repairs to any equipment such as copiers</t>
  </si>
  <si>
    <t>Trash Removal</t>
  </si>
  <si>
    <t>Waste Management fees</t>
  </si>
  <si>
    <t>Grounds Maint</t>
  </si>
  <si>
    <t>Lawn mowing, landscaping</t>
  </si>
  <si>
    <t>Grounds Repairs</t>
  </si>
  <si>
    <t>Security Prof Svcs</t>
  </si>
  <si>
    <t>Security</t>
  </si>
  <si>
    <t>Security services, CSC</t>
  </si>
  <si>
    <t>Telephone</t>
  </si>
  <si>
    <t>Phone or cell phone billings T-Mobile-ERS Wireless in December and January setup</t>
  </si>
  <si>
    <t>Electricity</t>
  </si>
  <si>
    <t>IPL</t>
  </si>
  <si>
    <t>Gas</t>
  </si>
  <si>
    <t>Citizens Energy</t>
  </si>
  <si>
    <t>Professional services</t>
  </si>
  <si>
    <t>Siemens sprinkler repair and Kopec Elec in July-Siemens in August-Moved Siemens to line 171-Pro-tech in October-Zoom Drain in December-Includes Siemens yearly contract in February</t>
  </si>
  <si>
    <t>Water and Sewer</t>
  </si>
  <si>
    <t>Marion County Storm</t>
  </si>
  <si>
    <t>Utilities / Property Tax</t>
  </si>
  <si>
    <t>Insurance</t>
  </si>
  <si>
    <t>Liability Insurance-October was yearly Hartford charge-2 Months paid in March for selective insurance</t>
  </si>
  <si>
    <t>Treas Bond</t>
  </si>
  <si>
    <t>Insurance Expense</t>
  </si>
  <si>
    <t>Total Facilities Expense</t>
  </si>
  <si>
    <t>Technology Expense</t>
  </si>
  <si>
    <t>Supplies - Technology</t>
  </si>
  <si>
    <t>Chromebooks in July-Google Chrome upgrade in September</t>
  </si>
  <si>
    <t>IT Services</t>
  </si>
  <si>
    <t>IT Services , RCR, Base HQ, RCR in January</t>
  </si>
  <si>
    <t>Tech Supplies</t>
  </si>
  <si>
    <t>Wiring, IT supplies</t>
  </si>
  <si>
    <t>Possip</t>
  </si>
  <si>
    <t>Repairs &amp; Maint</t>
  </si>
  <si>
    <t>Repairs to IT equipment (hardware/printer/etc)</t>
  </si>
  <si>
    <t>IT Supplies</t>
  </si>
  <si>
    <t>Internet</t>
  </si>
  <si>
    <t xml:space="preserve">Internet charges/wifi </t>
  </si>
  <si>
    <t>Total Technology</t>
  </si>
  <si>
    <t>Debt Retirement</t>
  </si>
  <si>
    <t>Loan Principal-Per Teagan Ivy Tech payments</t>
  </si>
  <si>
    <t>Per Teagan this is Ivy Tech payback.-December is for Fall 2025 fees</t>
  </si>
  <si>
    <t>Cafeteria Salary</t>
  </si>
  <si>
    <t>Café staff</t>
  </si>
  <si>
    <t>Café taxes</t>
  </si>
  <si>
    <t>Café position insurance</t>
  </si>
  <si>
    <t>Unemployment taxes</t>
  </si>
  <si>
    <t>Retirement benefits</t>
  </si>
  <si>
    <t>Food Purchases</t>
  </si>
  <si>
    <t>Food purchases from IPS food, prairie Farms.</t>
  </si>
  <si>
    <t>Other Food Purchases</t>
  </si>
  <si>
    <t>Food purchased for students only -- smoothie bar, other fresh items for kids.</t>
  </si>
  <si>
    <t>Cafeteria Repairs/Maint</t>
  </si>
  <si>
    <t>Kitchen repairs/maintenance</t>
  </si>
  <si>
    <t>Kitchen Supplies</t>
  </si>
  <si>
    <t>Supplies needed for kitchen, paper supplies</t>
  </si>
  <si>
    <t>Kitchen Fees</t>
  </si>
  <si>
    <t>Fees for Kitchen/Food Dispensing</t>
  </si>
  <si>
    <t>School Lunch</t>
  </si>
  <si>
    <t>Athletic Coaches</t>
  </si>
  <si>
    <t>Coaches</t>
  </si>
  <si>
    <t>Referees</t>
  </si>
  <si>
    <t>Rent</t>
  </si>
  <si>
    <t>Gym rentals for ECA</t>
  </si>
  <si>
    <t>Transportation</t>
  </si>
  <si>
    <t>Transporation for ECA activities</t>
  </si>
  <si>
    <t>ECA Travel</t>
  </si>
  <si>
    <t>Mileage reiimbursement for ECA travel for staff</t>
  </si>
  <si>
    <t>ECA Supplies</t>
  </si>
  <si>
    <t>Equipment and supplies for ECA activities</t>
  </si>
  <si>
    <t>ECA Food</t>
  </si>
  <si>
    <t>Food to provide students and staff for ECA</t>
  </si>
  <si>
    <t>ECA Dues &amp; Fees</t>
  </si>
  <si>
    <t>Dues to participate in ECA activities, IHSAA fees</t>
  </si>
  <si>
    <t>Bus Driver Non-CDL</t>
  </si>
  <si>
    <t xml:space="preserve">Non-CDL Driver: $100/day rate </t>
  </si>
  <si>
    <t>Bus driver taxes</t>
  </si>
  <si>
    <t>Bus driver insurance</t>
  </si>
  <si>
    <t>Bus Driver</t>
  </si>
  <si>
    <t xml:space="preserve">4 CDL drivers @ $150/day </t>
  </si>
  <si>
    <t>ISLL stipend</t>
  </si>
  <si>
    <t>Gas and maintenance</t>
  </si>
  <si>
    <t>$1,000/week on gas for 5 vehicles-Includes Indy Truck repairs of $6001.67 in Aug</t>
  </si>
  <si>
    <t>Transportation services</t>
  </si>
  <si>
    <t>Student Transportation to and from school</t>
  </si>
  <si>
    <t>Student Transportation</t>
  </si>
  <si>
    <t>Student Transportation-Non-Route-November is Indygo passes</t>
  </si>
  <si>
    <t>Prof Serv</t>
  </si>
  <si>
    <t>Bus purchases with CSP</t>
  </si>
  <si>
    <t xml:space="preserve"> </t>
  </si>
  <si>
    <t>Total Other Expenses</t>
  </si>
  <si>
    <t>Beginning Cash Balance</t>
  </si>
  <si>
    <t>Ending Cash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</si>
</sst>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#,##0.00;\-#,##0.00"/>
    <numFmt numFmtId="165" formatCode="#,##0.0#%;\-#,##0.0#%"/>
    <numFmt numFmtId="166" formatCode="_(* #,##0_);_(* \(#,##0\);_(* &quot;-&quot;??_);_(@_)"/>
  </numFmts>
  <fonts count="16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0" fontId="3" fillId="0" borderId="0"/>
    <xf numFmtId="0" fontId="4" fillId="0" borderId="0"/>
    <xf numFmtId="0" fontId="3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4" xfId="0" applyNumberFormat="1" applyFont="1" applyBorder="1"/>
    <xf numFmtId="49" fontId="1" fillId="0" borderId="0" xfId="0" applyNumberFormat="1" applyFont="1"/>
    <xf numFmtId="164" fontId="2" fillId="0" borderId="5" xfId="0" applyNumberFormat="1" applyFont="1" applyBorder="1"/>
    <xf numFmtId="49" fontId="2" fillId="0" borderId="0" xfId="0" applyNumberFormat="1" applyFont="1"/>
    <xf numFmtId="164" fontId="2" fillId="0" borderId="0" xfId="0" applyNumberFormat="1" applyFont="1"/>
    <xf numFmtId="164" fontId="2" fillId="0" borderId="3" xfId="0" applyNumberFormat="1" applyFont="1" applyBorder="1"/>
    <xf numFmtId="164" fontId="2" fillId="0" borderId="2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165" fontId="1" fillId="0" borderId="4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3" xfId="0" applyNumberFormat="1" applyFont="1" applyBorder="1"/>
    <xf numFmtId="165" fontId="2" fillId="0" borderId="2" xfId="0" applyNumberFormat="1" applyFont="1" applyBorder="1"/>
    <xf numFmtId="49" fontId="1" fillId="0" borderId="6" xfId="0" applyNumberFormat="1" applyFont="1" applyBorder="1" applyAlignment="1">
      <alignment horizontal="center"/>
    </xf>
    <xf numFmtId="49" fontId="0" fillId="0" borderId="0" xfId="0" applyNumberFormat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41" fontId="8" fillId="0" borderId="0" xfId="2" applyNumberFormat="1" applyFont="1" applyProtection="1">
      <protection hidden="1"/>
    </xf>
    <xf numFmtId="3" fontId="8" fillId="0" borderId="0" xfId="2" applyNumberFormat="1" applyFont="1" applyProtection="1">
      <protection hidden="1"/>
    </xf>
    <xf numFmtId="13" fontId="8" fillId="0" borderId="0" xfId="2" applyNumberFormat="1" applyFont="1" applyProtection="1">
      <protection hidden="1"/>
    </xf>
    <xf numFmtId="14" fontId="7" fillId="0" borderId="0" xfId="2" applyNumberFormat="1" applyProtection="1">
      <protection hidden="1"/>
    </xf>
    <xf numFmtId="41" fontId="6" fillId="0" borderId="0" xfId="2" applyNumberFormat="1" applyFont="1" applyAlignment="1" applyProtection="1">
      <alignment horizontal="center"/>
      <protection hidden="1"/>
    </xf>
    <xf numFmtId="0" fontId="8" fillId="0" borderId="0" xfId="2" applyFont="1" applyProtection="1">
      <protection hidden="1"/>
    </xf>
    <xf numFmtId="17" fontId="6" fillId="0" borderId="2" xfId="2" applyNumberFormat="1" applyFont="1" applyBorder="1" applyAlignment="1" applyProtection="1">
      <alignment horizontal="center"/>
      <protection hidden="1"/>
    </xf>
    <xf numFmtId="41" fontId="6" fillId="0" borderId="2" xfId="2" applyNumberFormat="1" applyFont="1" applyBorder="1" applyAlignment="1" applyProtection="1">
      <alignment horizontal="center"/>
      <protection hidden="1"/>
    </xf>
    <xf numFmtId="3" fontId="6" fillId="0" borderId="0" xfId="2" applyNumberFormat="1" applyFont="1" applyAlignment="1" applyProtection="1">
      <alignment horizontal="center"/>
      <protection hidden="1"/>
    </xf>
    <xf numFmtId="3" fontId="6" fillId="0" borderId="2" xfId="2" applyNumberFormat="1" applyFont="1" applyBorder="1" applyAlignment="1" applyProtection="1">
      <alignment horizontal="left"/>
      <protection hidden="1"/>
    </xf>
    <xf numFmtId="3" fontId="8" fillId="0" borderId="0" xfId="2" applyNumberFormat="1" applyFont="1" applyAlignment="1" applyProtection="1">
      <alignment horizontal="center"/>
      <protection hidden="1"/>
    </xf>
    <xf numFmtId="3" fontId="6" fillId="2" borderId="0" xfId="2" applyNumberFormat="1" applyFont="1" applyFill="1" applyProtection="1">
      <protection hidden="1"/>
    </xf>
    <xf numFmtId="0" fontId="6" fillId="2" borderId="0" xfId="2" applyFont="1" applyFill="1" applyProtection="1">
      <protection hidden="1"/>
    </xf>
    <xf numFmtId="41" fontId="8" fillId="2" borderId="0" xfId="2" applyNumberFormat="1" applyFont="1" applyFill="1" applyProtection="1">
      <protection hidden="1"/>
    </xf>
    <xf numFmtId="3" fontId="8" fillId="0" borderId="0" xfId="2" applyNumberFormat="1" applyFont="1" applyAlignment="1" applyProtection="1">
      <alignment horizontal="left" indent="2"/>
      <protection hidden="1"/>
    </xf>
    <xf numFmtId="3" fontId="6" fillId="0" borderId="7" xfId="2" applyNumberFormat="1" applyFont="1" applyBorder="1" applyProtection="1">
      <protection hidden="1"/>
    </xf>
    <xf numFmtId="0" fontId="8" fillId="0" borderId="7" xfId="2" applyFont="1" applyBorder="1" applyProtection="1">
      <protection hidden="1"/>
    </xf>
    <xf numFmtId="41" fontId="6" fillId="0" borderId="7" xfId="2" applyNumberFormat="1" applyFont="1" applyBorder="1" applyProtection="1">
      <protection hidden="1"/>
    </xf>
    <xf numFmtId="41" fontId="6" fillId="0" borderId="0" xfId="2" applyNumberFormat="1" applyFont="1" applyProtection="1">
      <protection hidden="1"/>
    </xf>
    <xf numFmtId="3" fontId="6" fillId="0" borderId="0" xfId="2" applyNumberFormat="1" applyFont="1" applyProtection="1">
      <protection hidden="1"/>
    </xf>
    <xf numFmtId="0" fontId="8" fillId="0" borderId="0" xfId="2" applyFont="1" applyAlignment="1" applyProtection="1">
      <alignment horizontal="right"/>
      <protection hidden="1"/>
    </xf>
    <xf numFmtId="0" fontId="6" fillId="0" borderId="0" xfId="2" applyFont="1" applyProtection="1">
      <protection hidden="1"/>
    </xf>
    <xf numFmtId="3" fontId="6" fillId="0" borderId="7" xfId="2" applyNumberFormat="1" applyFont="1" applyBorder="1" applyAlignment="1" applyProtection="1">
      <alignment horizontal="left"/>
      <protection hidden="1"/>
    </xf>
    <xf numFmtId="0" fontId="6" fillId="0" borderId="7" xfId="2" applyFont="1" applyBorder="1" applyProtection="1">
      <protection hidden="1"/>
    </xf>
    <xf numFmtId="3" fontId="8" fillId="0" borderId="0" xfId="2" applyNumberFormat="1" applyFont="1" applyAlignment="1" applyProtection="1">
      <alignment horizontal="left" indent="1"/>
      <protection hidden="1"/>
    </xf>
    <xf numFmtId="3" fontId="6" fillId="2" borderId="0" xfId="2" applyNumberFormat="1" applyFont="1" applyFill="1" applyAlignment="1" applyProtection="1">
      <alignment horizontal="left"/>
      <protection hidden="1"/>
    </xf>
    <xf numFmtId="166" fontId="8" fillId="0" borderId="0" xfId="2" applyNumberFormat="1" applyFont="1" applyProtection="1">
      <protection hidden="1"/>
    </xf>
    <xf numFmtId="3" fontId="6" fillId="0" borderId="0" xfId="2" applyNumberFormat="1" applyFont="1" applyAlignment="1" applyProtection="1">
      <alignment horizontal="left"/>
      <protection hidden="1"/>
    </xf>
    <xf numFmtId="3" fontId="8" fillId="0" borderId="8" xfId="2" applyNumberFormat="1" applyFont="1" applyBorder="1" applyProtection="1">
      <protection hidden="1"/>
    </xf>
    <xf numFmtId="0" fontId="8" fillId="0" borderId="8" xfId="2" applyFont="1" applyBorder="1" applyProtection="1">
      <protection hidden="1"/>
    </xf>
    <xf numFmtId="41" fontId="11" fillId="0" borderId="8" xfId="2" applyNumberFormat="1" applyFont="1" applyBorder="1" applyProtection="1">
      <protection hidden="1"/>
    </xf>
    <xf numFmtId="41" fontId="8" fillId="0" borderId="8" xfId="2" applyNumberFormat="1" applyFont="1" applyBorder="1" applyProtection="1">
      <protection hidden="1"/>
    </xf>
    <xf numFmtId="3" fontId="6" fillId="0" borderId="9" xfId="2" applyNumberFormat="1" applyFont="1" applyBorder="1" applyProtection="1">
      <protection hidden="1"/>
    </xf>
    <xf numFmtId="0" fontId="6" fillId="0" borderId="9" xfId="2" applyFont="1" applyBorder="1" applyProtection="1">
      <protection hidden="1"/>
    </xf>
    <xf numFmtId="41" fontId="6" fillId="0" borderId="9" xfId="2" applyNumberFormat="1" applyFont="1" applyBorder="1" applyProtection="1">
      <protection hidden="1"/>
    </xf>
    <xf numFmtId="0" fontId="5" fillId="0" borderId="0" xfId="4" applyFont="1" applyProtection="1">
      <protection hidden="1"/>
    </xf>
    <xf numFmtId="0" fontId="6" fillId="0" borderId="0" xfId="4" applyFont="1" applyProtection="1">
      <protection hidden="1"/>
    </xf>
    <xf numFmtId="0" fontId="9" fillId="0" borderId="0" xfId="4" applyFont="1" applyProtection="1">
      <protection hidden="1"/>
    </xf>
    <xf numFmtId="0" fontId="8" fillId="0" borderId="0" xfId="4" applyFont="1" applyProtection="1">
      <protection hidden="1"/>
    </xf>
    <xf numFmtId="0" fontId="8" fillId="0" borderId="0" xfId="5" applyFont="1"/>
    <xf numFmtId="0" fontId="10" fillId="0" borderId="0" xfId="5" applyFont="1"/>
    <xf numFmtId="0" fontId="8" fillId="0" borderId="0" xfId="5" applyFont="1" applyAlignment="1">
      <alignment wrapText="1"/>
    </xf>
    <xf numFmtId="0" fontId="13" fillId="0" borderId="0" xfId="0" applyFont="1"/>
    <xf numFmtId="164" fontId="13" fillId="0" borderId="4" xfId="0" applyNumberFormat="1" applyFont="1" applyBorder="1"/>
    <xf numFmtId="49" fontId="13" fillId="0" borderId="0" xfId="0" applyNumberFormat="1" applyFont="1"/>
    <xf numFmtId="164" fontId="14" fillId="0" borderId="5" xfId="0" applyNumberFormat="1" applyFont="1" applyBorder="1"/>
    <xf numFmtId="164" fontId="14" fillId="0" borderId="0" xfId="0" applyNumberFormat="1" applyFont="1"/>
    <xf numFmtId="164" fontId="14" fillId="0" borderId="3" xfId="0" applyNumberFormat="1" applyFont="1" applyBorder="1"/>
    <xf numFmtId="164" fontId="14" fillId="0" borderId="2" xfId="0" applyNumberFormat="1" applyFont="1" applyBorder="1"/>
    <xf numFmtId="49" fontId="13" fillId="0" borderId="1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17" fontId="6" fillId="3" borderId="2" xfId="2" applyNumberFormat="1" applyFont="1" applyFill="1" applyBorder="1" applyAlignment="1" applyProtection="1">
      <alignment horizontal="center"/>
      <protection hidden="1"/>
    </xf>
    <xf numFmtId="41" fontId="6" fillId="3" borderId="2" xfId="2" applyNumberFormat="1" applyFont="1" applyFill="1" applyBorder="1" applyAlignment="1" applyProtection="1">
      <alignment horizontal="center"/>
      <protection hidden="1"/>
    </xf>
    <xf numFmtId="41" fontId="8" fillId="3" borderId="0" xfId="2" applyNumberFormat="1" applyFont="1" applyFill="1" applyProtection="1">
      <protection hidden="1"/>
    </xf>
    <xf numFmtId="41" fontId="6" fillId="3" borderId="7" xfId="2" applyNumberFormat="1" applyFont="1" applyFill="1" applyBorder="1" applyProtection="1">
      <protection hidden="1"/>
    </xf>
    <xf numFmtId="41" fontId="6" fillId="3" borderId="0" xfId="2" applyNumberFormat="1" applyFont="1" applyFill="1" applyProtection="1">
      <protection hidden="1"/>
    </xf>
    <xf numFmtId="4" fontId="6" fillId="0" borderId="0" xfId="2" applyNumberFormat="1" applyFont="1" applyProtection="1">
      <protection hidden="1"/>
    </xf>
    <xf numFmtId="166" fontId="8" fillId="3" borderId="0" xfId="2" applyNumberFormat="1" applyFont="1" applyFill="1" applyProtection="1">
      <protection hidden="1"/>
    </xf>
    <xf numFmtId="41" fontId="11" fillId="3" borderId="8" xfId="2" applyNumberFormat="1" applyFont="1" applyFill="1" applyBorder="1" applyProtection="1">
      <protection hidden="1"/>
    </xf>
    <xf numFmtId="41" fontId="6" fillId="3" borderId="9" xfId="2" applyNumberFormat="1" applyFont="1" applyFill="1" applyBorder="1" applyProtection="1">
      <protection hidden="1"/>
    </xf>
    <xf numFmtId="3" fontId="8" fillId="0" borderId="0" xfId="2" applyNumberFormat="1" applyFont="1" applyAlignment="1" applyProtection="1">
      <alignment wrapText="1"/>
      <protection hidden="1"/>
    </xf>
    <xf numFmtId="41" fontId="8" fillId="0" borderId="10" xfId="2" applyNumberFormat="1" applyFont="1" applyBorder="1" applyProtection="1">
      <protection hidden="1"/>
    </xf>
    <xf numFmtId="41" fontId="8" fillId="0" borderId="11" xfId="2" applyNumberFormat="1" applyFont="1" applyBorder="1" applyProtection="1">
      <protection hidden="1"/>
    </xf>
    <xf numFmtId="41" fontId="8" fillId="0" borderId="12" xfId="2" applyNumberFormat="1" applyFont="1" applyBorder="1" applyProtection="1">
      <protection hidden="1"/>
    </xf>
    <xf numFmtId="41" fontId="8" fillId="4" borderId="0" xfId="2" applyNumberFormat="1" applyFont="1" applyFill="1" applyProtection="1">
      <protection hidden="1"/>
    </xf>
    <xf numFmtId="41" fontId="8" fillId="0" borderId="13" xfId="2" applyNumberFormat="1" applyFont="1" applyBorder="1" applyAlignment="1" applyProtection="1">
      <alignment vertical="center"/>
      <protection hidden="1"/>
    </xf>
    <xf numFmtId="41" fontId="12" fillId="3" borderId="0" xfId="2" applyNumberFormat="1" applyFont="1" applyFill="1" applyProtection="1">
      <protection hidden="1"/>
    </xf>
    <xf numFmtId="41" fontId="8" fillId="0" borderId="8" xfId="2" applyNumberFormat="1" applyFont="1" applyBorder="1" applyAlignment="1" applyProtection="1">
      <alignment vertical="center"/>
      <protection hidden="1"/>
    </xf>
    <xf numFmtId="14" fontId="7" fillId="0" borderId="14" xfId="2" applyNumberFormat="1" applyBorder="1" applyProtection="1">
      <protection hidden="1"/>
    </xf>
    <xf numFmtId="41" fontId="8" fillId="5" borderId="0" xfId="2" applyNumberFormat="1" applyFont="1" applyFill="1" applyProtection="1">
      <protection hidden="1"/>
    </xf>
    <xf numFmtId="41" fontId="6" fillId="3" borderId="0" xfId="2" applyNumberFormat="1" applyFont="1" applyFill="1" applyAlignment="1" applyProtection="1">
      <alignment horizontal="center"/>
      <protection hidden="1"/>
    </xf>
    <xf numFmtId="41" fontId="8" fillId="6" borderId="0" xfId="2" applyNumberFormat="1" applyFont="1" applyFill="1" applyProtection="1">
      <protection hidden="1"/>
    </xf>
    <xf numFmtId="49" fontId="13" fillId="7" borderId="0" xfId="0" applyNumberFormat="1" applyFont="1" applyFill="1"/>
    <xf numFmtId="164" fontId="14" fillId="7" borderId="0" xfId="0" applyNumberFormat="1" applyFont="1" applyFill="1"/>
    <xf numFmtId="49" fontId="1" fillId="7" borderId="0" xfId="0" applyNumberFormat="1" applyFont="1" applyFill="1"/>
    <xf numFmtId="164" fontId="2" fillId="7" borderId="0" xfId="0" applyNumberFormat="1" applyFont="1" applyFill="1"/>
    <xf numFmtId="49" fontId="2" fillId="7" borderId="0" xfId="0" applyNumberFormat="1" applyFont="1" applyFill="1"/>
    <xf numFmtId="164" fontId="1" fillId="0" borderId="0" xfId="0" applyNumberFormat="1" applyFont="1"/>
    <xf numFmtId="4" fontId="0" fillId="0" borderId="0" xfId="0" applyNumberFormat="1"/>
  </cellXfs>
  <cellStyles count="6">
    <cellStyle name="Normal" xfId="0" builtinId="0"/>
    <cellStyle name="Normal 16" xfId="3" xr:uid="{764FCCE4-3532-45E6-97DB-5AF47D8386EE}"/>
    <cellStyle name="Normal 16 2" xfId="5" xr:uid="{B561CA00-D423-4D82-89D6-652F01B72C6C}"/>
    <cellStyle name="Normal 18" xfId="4" xr:uid="{0D554379-A61E-47EB-9123-F576F87C635E}"/>
    <cellStyle name="Normal 2" xfId="1" xr:uid="{DE06F886-DDF3-48DF-9516-F1125D643C1D}"/>
    <cellStyle name="Normal_05-06 Budget Page Template - GEI" xfId="2" xr:uid="{11D0905D-E0BC-4F1D-96BC-44C7FC99A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219084</xdr:colOff>
      <xdr:row>0</xdr:row>
      <xdr:rowOff>38116</xdr:rowOff>
    </xdr:from>
    <xdr:ext cx="425612" cy="520771"/>
    <xdr:pic>
      <xdr:nvPicPr>
        <xdr:cNvPr id="2" name="Picture 1">
          <a:extLst>
            <a:ext uri="{FF2B5EF4-FFF2-40B4-BE49-F238E27FC236}">
              <a16:creationId xmlns:a16="http://schemas.microsoft.com/office/drawing/2014/main" id="{882F21CE-7454-4163-99B7-CC0A24A66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953759" y="38116"/>
          <a:ext cx="425612" cy="52077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219084</xdr:colOff>
      <xdr:row>0</xdr:row>
      <xdr:rowOff>38116</xdr:rowOff>
    </xdr:from>
    <xdr:ext cx="425612" cy="520771"/>
    <xdr:pic>
      <xdr:nvPicPr>
        <xdr:cNvPr id="3" name="Picture 2">
          <a:extLst>
            <a:ext uri="{FF2B5EF4-FFF2-40B4-BE49-F238E27FC236}">
              <a16:creationId xmlns:a16="http://schemas.microsoft.com/office/drawing/2014/main" id="{A5FE4F81-9819-4008-80A7-E3B1C5B46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820659" y="38116"/>
          <a:ext cx="425612" cy="52077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219084</xdr:colOff>
      <xdr:row>0</xdr:row>
      <xdr:rowOff>38116</xdr:rowOff>
    </xdr:from>
    <xdr:ext cx="425612" cy="520771"/>
    <xdr:pic>
      <xdr:nvPicPr>
        <xdr:cNvPr id="4" name="Picture 3">
          <a:extLst>
            <a:ext uri="{FF2B5EF4-FFF2-40B4-BE49-F238E27FC236}">
              <a16:creationId xmlns:a16="http://schemas.microsoft.com/office/drawing/2014/main" id="{7FA73FB1-D422-4561-A995-7003EB16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020684" y="38116"/>
          <a:ext cx="425612" cy="52077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219084</xdr:colOff>
      <xdr:row>0</xdr:row>
      <xdr:rowOff>38116</xdr:rowOff>
    </xdr:from>
    <xdr:ext cx="425612" cy="520771"/>
    <xdr:pic>
      <xdr:nvPicPr>
        <xdr:cNvPr id="5" name="Picture 4">
          <a:extLst>
            <a:ext uri="{FF2B5EF4-FFF2-40B4-BE49-F238E27FC236}">
              <a16:creationId xmlns:a16="http://schemas.microsoft.com/office/drawing/2014/main" id="{CB4D9EF5-3783-430C-AAAE-902C6F5D2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09" y="38116"/>
          <a:ext cx="425612" cy="52077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219084</xdr:colOff>
      <xdr:row>0</xdr:row>
      <xdr:rowOff>38116</xdr:rowOff>
    </xdr:from>
    <xdr:ext cx="425612" cy="520771"/>
    <xdr:pic>
      <xdr:nvPicPr>
        <xdr:cNvPr id="6" name="Picture 5">
          <a:extLst>
            <a:ext uri="{FF2B5EF4-FFF2-40B4-BE49-F238E27FC236}">
              <a16:creationId xmlns:a16="http://schemas.microsoft.com/office/drawing/2014/main" id="{99FA4506-EDFA-472F-AAB9-42FC2C77A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09" y="38116"/>
          <a:ext cx="425612" cy="52077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owell, Jade" id="{55BDD0DE-CB50-44AA-9119-1A2ED4A00BE9}" userId="Jade.Powell@Indy.Gov" providerId="PeoplePicker"/>
  <person displayName="Sikand, Angad" id="{57EFA43C-8AB4-43AD-9D8E-7E7F20D462BA}" userId="S::angad.sikand@indy.gov::0525f913-a373-4dff-9fb9-db40cd77f52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44" dT="2026-09-01T16:54:31.70" personId="{57EFA43C-8AB4-43AD-9D8E-7E7F20D462BA}" id="{65CBCAA1-8985-4ACE-9D1C-7C60E488F7C7}">
    <text>@Powell, Jade</text>
    <mentions>
      <mention mentionpersonId="{55BDD0DE-CB50-44AA-9119-1A2ED4A00BE9}" mentionId="{5622400B-2B9D-4C75-86D2-AE37A4684970}" startIndex="0" length="13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C459-234D-4B81-BAB0-B28CA2DBE846}">
  <dimension ref="A1:H85"/>
  <sheetViews>
    <sheetView workbookViewId="0">
      <pane xSplit="5" ySplit="1" topLeftCell="F70" activePane="bottomRight" state="frozenSplit"/>
      <selection pane="bottomRight" activeCell="H76" sqref="H76"/>
      <selection pane="bottomLeft" activeCell="A2" sqref="A2"/>
      <selection pane="topRight" activeCell="F1" sqref="F1"/>
    </sheetView>
  </sheetViews>
  <sheetFormatPr defaultRowHeight="15"/>
  <cols>
    <col min="1" max="4" width="3" style="63" customWidth="1"/>
    <col min="5" max="5" width="29.85546875" style="63" customWidth="1"/>
    <col min="6" max="6" width="10" bestFit="1" customWidth="1"/>
    <col min="8" max="8" width="10.85546875" bestFit="1" customWidth="1"/>
  </cols>
  <sheetData>
    <row r="1" spans="1:6" s="1" customFormat="1" ht="15.75" thickBot="1">
      <c r="A1" s="71"/>
      <c r="B1" s="71"/>
      <c r="C1" s="71"/>
      <c r="D1" s="71"/>
      <c r="E1" s="71"/>
      <c r="F1" s="70" t="s">
        <v>0</v>
      </c>
    </row>
    <row r="2" spans="1:6" ht="15.75" thickTop="1">
      <c r="A2" s="65" t="s">
        <v>1</v>
      </c>
      <c r="B2" s="65"/>
      <c r="C2" s="65"/>
      <c r="D2" s="65"/>
      <c r="E2" s="65"/>
      <c r="F2" s="67"/>
    </row>
    <row r="3" spans="1:6">
      <c r="A3" s="65"/>
      <c r="B3" s="65" t="s">
        <v>2</v>
      </c>
      <c r="C3" s="65"/>
      <c r="D3" s="65"/>
      <c r="E3" s="65"/>
      <c r="F3" s="67"/>
    </row>
    <row r="4" spans="1:6">
      <c r="A4" s="65"/>
      <c r="B4" s="65"/>
      <c r="C4" s="65" t="s">
        <v>3</v>
      </c>
      <c r="D4" s="65"/>
      <c r="E4" s="65"/>
      <c r="F4" s="67"/>
    </row>
    <row r="5" spans="1:6">
      <c r="A5" s="65"/>
      <c r="B5" s="65"/>
      <c r="C5" s="65"/>
      <c r="D5" s="65" t="s">
        <v>4</v>
      </c>
      <c r="E5" s="65"/>
      <c r="F5" s="67"/>
    </row>
    <row r="6" spans="1:6">
      <c r="A6" s="65"/>
      <c r="B6" s="65"/>
      <c r="C6" s="65"/>
      <c r="D6" s="65"/>
      <c r="E6" s="65" t="s">
        <v>5</v>
      </c>
      <c r="F6" s="67">
        <v>-165580.04</v>
      </c>
    </row>
    <row r="7" spans="1:6">
      <c r="A7" s="65"/>
      <c r="B7" s="65"/>
      <c r="C7" s="65"/>
      <c r="D7" s="65"/>
      <c r="E7" s="65" t="s">
        <v>6</v>
      </c>
      <c r="F7" s="67">
        <v>246137.01</v>
      </c>
    </row>
    <row r="8" spans="1:6">
      <c r="A8" s="65"/>
      <c r="B8" s="65"/>
      <c r="C8" s="65"/>
      <c r="D8" s="65"/>
      <c r="E8" s="65" t="s">
        <v>7</v>
      </c>
      <c r="F8" s="67">
        <v>124843.8</v>
      </c>
    </row>
    <row r="9" spans="1:6">
      <c r="A9" s="65"/>
      <c r="B9" s="65"/>
      <c r="C9" s="65"/>
      <c r="D9" s="65"/>
      <c r="E9" s="65" t="s">
        <v>8</v>
      </c>
      <c r="F9" s="67">
        <v>-12783.98</v>
      </c>
    </row>
    <row r="10" spans="1:6">
      <c r="A10" s="65"/>
      <c r="B10" s="65"/>
      <c r="C10" s="65"/>
      <c r="D10" s="65"/>
      <c r="E10" s="65" t="s">
        <v>9</v>
      </c>
      <c r="F10" s="67">
        <v>1730</v>
      </c>
    </row>
    <row r="11" spans="1:6">
      <c r="A11" s="65"/>
      <c r="B11" s="65"/>
      <c r="C11" s="65"/>
      <c r="D11" s="65"/>
      <c r="E11" s="65" t="s">
        <v>10</v>
      </c>
      <c r="F11" s="67">
        <v>1280.08</v>
      </c>
    </row>
    <row r="12" spans="1:6">
      <c r="A12" s="65"/>
      <c r="B12" s="65"/>
      <c r="C12" s="65"/>
      <c r="D12" s="65"/>
      <c r="E12" s="65" t="s">
        <v>11</v>
      </c>
      <c r="F12" s="67">
        <v>-22037.23</v>
      </c>
    </row>
    <row r="13" spans="1:6">
      <c r="A13" s="65"/>
      <c r="B13" s="65"/>
      <c r="C13" s="65"/>
      <c r="D13" s="65"/>
      <c r="E13" s="65" t="s">
        <v>12</v>
      </c>
      <c r="F13" s="67">
        <v>409.35</v>
      </c>
    </row>
    <row r="14" spans="1:6">
      <c r="A14" s="65"/>
      <c r="B14" s="65"/>
      <c r="C14" s="65"/>
      <c r="D14" s="65"/>
      <c r="E14" s="65" t="s">
        <v>13</v>
      </c>
      <c r="F14" s="67">
        <v>-1528.96</v>
      </c>
    </row>
    <row r="15" spans="1:6">
      <c r="A15" s="65"/>
      <c r="B15" s="65"/>
      <c r="C15" s="65"/>
      <c r="D15" s="65"/>
      <c r="E15" s="65" t="s">
        <v>14</v>
      </c>
      <c r="F15" s="67">
        <v>152594.88</v>
      </c>
    </row>
    <row r="16" spans="1:6">
      <c r="A16" s="65"/>
      <c r="B16" s="65"/>
      <c r="C16" s="65"/>
      <c r="D16" s="65"/>
      <c r="E16" s="65" t="s">
        <v>15</v>
      </c>
      <c r="F16" s="67">
        <v>5944.16</v>
      </c>
    </row>
    <row r="17" spans="1:6">
      <c r="A17" s="65"/>
      <c r="B17" s="65"/>
      <c r="C17" s="65"/>
      <c r="D17" s="65"/>
      <c r="E17" s="65" t="s">
        <v>16</v>
      </c>
      <c r="F17" s="67">
        <v>89289.97</v>
      </c>
    </row>
    <row r="18" spans="1:6">
      <c r="A18" s="65"/>
      <c r="B18" s="65"/>
      <c r="C18" s="65"/>
      <c r="D18" s="65"/>
      <c r="E18" s="65" t="s">
        <v>17</v>
      </c>
      <c r="F18" s="67">
        <v>-158425.13</v>
      </c>
    </row>
    <row r="19" spans="1:6">
      <c r="A19" s="65"/>
      <c r="B19" s="65"/>
      <c r="C19" s="65"/>
      <c r="D19" s="65"/>
      <c r="E19" s="65" t="s">
        <v>18</v>
      </c>
      <c r="F19" s="67">
        <v>169547.98</v>
      </c>
    </row>
    <row r="20" spans="1:6">
      <c r="A20" s="65"/>
      <c r="B20" s="65"/>
      <c r="C20" s="65"/>
      <c r="D20" s="65"/>
      <c r="E20" s="65" t="s">
        <v>19</v>
      </c>
      <c r="F20" s="67">
        <v>201822.5</v>
      </c>
    </row>
    <row r="21" spans="1:6">
      <c r="A21" s="65"/>
      <c r="B21" s="65"/>
      <c r="C21" s="65"/>
      <c r="D21" s="65"/>
      <c r="E21" s="65" t="s">
        <v>20</v>
      </c>
      <c r="F21" s="67">
        <v>-38340.089999999997</v>
      </c>
    </row>
    <row r="22" spans="1:6">
      <c r="A22" s="65"/>
      <c r="B22" s="65"/>
      <c r="C22" s="65"/>
      <c r="D22" s="65"/>
      <c r="E22" s="65" t="s">
        <v>21</v>
      </c>
      <c r="F22" s="67">
        <v>259000</v>
      </c>
    </row>
    <row r="23" spans="1:6">
      <c r="A23" s="65"/>
      <c r="B23" s="65"/>
      <c r="C23" s="65"/>
      <c r="D23" s="65"/>
      <c r="E23" s="65" t="s">
        <v>22</v>
      </c>
      <c r="F23" s="67">
        <v>3004.36</v>
      </c>
    </row>
    <row r="24" spans="1:6">
      <c r="A24" s="65"/>
      <c r="B24" s="65"/>
      <c r="C24" s="65"/>
      <c r="D24" s="65"/>
      <c r="E24" s="65" t="s">
        <v>23</v>
      </c>
      <c r="F24" s="67">
        <v>5943.23</v>
      </c>
    </row>
    <row r="25" spans="1:6">
      <c r="A25" s="65"/>
      <c r="B25" s="65"/>
      <c r="C25" s="65"/>
      <c r="D25" s="65"/>
      <c r="E25" s="65" t="s">
        <v>24</v>
      </c>
      <c r="F25" s="67">
        <v>-13092.65</v>
      </c>
    </row>
    <row r="26" spans="1:6">
      <c r="A26" s="65"/>
      <c r="B26" s="65"/>
      <c r="C26" s="65"/>
      <c r="D26" s="65"/>
      <c r="E26" s="65" t="s">
        <v>25</v>
      </c>
      <c r="F26" s="67">
        <v>-5860</v>
      </c>
    </row>
    <row r="27" spans="1:6">
      <c r="A27" s="65"/>
      <c r="B27" s="65"/>
      <c r="C27" s="65"/>
      <c r="D27" s="65"/>
      <c r="E27" s="65" t="s">
        <v>26</v>
      </c>
      <c r="F27" s="67">
        <v>-70408.53</v>
      </c>
    </row>
    <row r="28" spans="1:6" ht="15.75" thickBot="1">
      <c r="A28" s="65"/>
      <c r="B28" s="65"/>
      <c r="C28" s="65"/>
      <c r="D28" s="65"/>
      <c r="E28" s="65" t="s">
        <v>27</v>
      </c>
      <c r="F28" s="69">
        <v>1016.22</v>
      </c>
    </row>
    <row r="29" spans="1:6">
      <c r="A29" s="65"/>
      <c r="B29" s="65"/>
      <c r="C29" s="65"/>
      <c r="D29" s="65" t="s">
        <v>28</v>
      </c>
      <c r="E29" s="65"/>
      <c r="F29" s="67">
        <f>ROUND(SUM(F5:F28),5)</f>
        <v>774506.93</v>
      </c>
    </row>
    <row r="30" spans="1:6">
      <c r="A30" s="65"/>
      <c r="B30" s="65"/>
      <c r="C30" s="65"/>
      <c r="D30" s="65" t="s">
        <v>29</v>
      </c>
      <c r="E30" s="65"/>
      <c r="F30" s="67"/>
    </row>
    <row r="31" spans="1:6" ht="15.75" thickBot="1">
      <c r="A31" s="65"/>
      <c r="B31" s="65"/>
      <c r="C31" s="65"/>
      <c r="D31" s="65"/>
      <c r="E31" s="65" t="s">
        <v>30</v>
      </c>
      <c r="F31" s="69">
        <v>0.19</v>
      </c>
    </row>
    <row r="32" spans="1:6">
      <c r="A32" s="65"/>
      <c r="B32" s="65"/>
      <c r="C32" s="65"/>
      <c r="D32" s="65" t="s">
        <v>31</v>
      </c>
      <c r="E32" s="65"/>
      <c r="F32" s="67">
        <f>ROUND(SUM(F30:F31),5)</f>
        <v>0.19</v>
      </c>
    </row>
    <row r="33" spans="1:6">
      <c r="A33" s="65"/>
      <c r="B33" s="65"/>
      <c r="C33" s="65"/>
      <c r="D33" s="65" t="s">
        <v>32</v>
      </c>
      <c r="E33" s="65"/>
      <c r="F33" s="67"/>
    </row>
    <row r="34" spans="1:6" ht="15.75" thickBot="1">
      <c r="A34" s="65"/>
      <c r="B34" s="65"/>
      <c r="C34" s="65"/>
      <c r="D34" s="65"/>
      <c r="E34" s="65" t="s">
        <v>33</v>
      </c>
      <c r="F34" s="69">
        <v>232.24</v>
      </c>
    </row>
    <row r="35" spans="1:6">
      <c r="A35" s="65"/>
      <c r="B35" s="65"/>
      <c r="C35" s="65"/>
      <c r="D35" s="65" t="s">
        <v>34</v>
      </c>
      <c r="E35" s="65"/>
      <c r="F35" s="67">
        <f>ROUND(SUM(F33:F34),5)</f>
        <v>232.24</v>
      </c>
    </row>
    <row r="36" spans="1:6">
      <c r="A36" s="65"/>
      <c r="B36" s="65"/>
      <c r="C36" s="65"/>
      <c r="D36" s="65" t="s">
        <v>35</v>
      </c>
      <c r="E36" s="65"/>
      <c r="F36" s="67"/>
    </row>
    <row r="37" spans="1:6" ht="15.75" thickBot="1">
      <c r="A37" s="65"/>
      <c r="B37" s="65"/>
      <c r="C37" s="65"/>
      <c r="D37" s="65"/>
      <c r="E37" s="65" t="s">
        <v>5</v>
      </c>
      <c r="F37" s="67">
        <v>532704.38</v>
      </c>
    </row>
    <row r="38" spans="1:6" ht="15.75" thickBot="1">
      <c r="A38" s="65"/>
      <c r="B38" s="65"/>
      <c r="C38" s="65"/>
      <c r="D38" s="65" t="s">
        <v>36</v>
      </c>
      <c r="E38" s="65"/>
      <c r="F38" s="68">
        <f>ROUND(SUM(F36:F37),5)</f>
        <v>532704.38</v>
      </c>
    </row>
    <row r="39" spans="1:6">
      <c r="A39" s="65"/>
      <c r="B39" s="65"/>
      <c r="C39" s="65" t="s">
        <v>37</v>
      </c>
      <c r="D39" s="65"/>
      <c r="E39" s="65"/>
      <c r="F39" s="67">
        <f>ROUND(F4+F29+F32+F35+F38,5)</f>
        <v>1307443.74</v>
      </c>
    </row>
    <row r="40" spans="1:6">
      <c r="A40" s="65"/>
      <c r="B40" s="65"/>
      <c r="C40" s="65" t="s">
        <v>38</v>
      </c>
      <c r="D40" s="65"/>
      <c r="E40" s="65"/>
      <c r="F40" s="67"/>
    </row>
    <row r="41" spans="1:6" ht="15.75" thickBot="1">
      <c r="A41" s="65"/>
      <c r="B41" s="65"/>
      <c r="C41" s="65"/>
      <c r="D41" s="65" t="s">
        <v>38</v>
      </c>
      <c r="E41" s="65"/>
      <c r="F41" s="69">
        <v>177701.31</v>
      </c>
    </row>
    <row r="42" spans="1:6">
      <c r="A42" s="65"/>
      <c r="B42" s="65"/>
      <c r="C42" s="65" t="s">
        <v>39</v>
      </c>
      <c r="D42" s="65"/>
      <c r="E42" s="65"/>
      <c r="F42" s="67">
        <f>ROUND(SUM(F40:F41),5)</f>
        <v>177701.31</v>
      </c>
    </row>
    <row r="43" spans="1:6">
      <c r="A43" s="65"/>
      <c r="B43" s="65"/>
      <c r="C43" s="65" t="s">
        <v>40</v>
      </c>
      <c r="D43" s="65"/>
      <c r="E43" s="65"/>
      <c r="F43" s="67"/>
    </row>
    <row r="44" spans="1:6">
      <c r="A44" s="65"/>
      <c r="B44" s="65"/>
      <c r="C44" s="65"/>
      <c r="D44" s="93" t="s">
        <v>41</v>
      </c>
      <c r="E44" s="93"/>
      <c r="F44" s="94">
        <v>0</v>
      </c>
    </row>
    <row r="45" spans="1:6" ht="15.75" thickBot="1">
      <c r="A45" s="65"/>
      <c r="B45" s="65"/>
      <c r="C45" s="65"/>
      <c r="D45" s="65" t="s">
        <v>42</v>
      </c>
      <c r="E45" s="65"/>
      <c r="F45" s="67">
        <v>25147.88</v>
      </c>
    </row>
    <row r="46" spans="1:6" ht="15.75" thickBot="1">
      <c r="A46" s="65"/>
      <c r="B46" s="65"/>
      <c r="C46" s="65" t="s">
        <v>43</v>
      </c>
      <c r="D46" s="65"/>
      <c r="E46" s="65"/>
      <c r="F46" s="68">
        <f>ROUND(SUM(F43:F45),5)</f>
        <v>25147.88</v>
      </c>
    </row>
    <row r="47" spans="1:6">
      <c r="A47" s="65"/>
      <c r="B47" s="65" t="s">
        <v>44</v>
      </c>
      <c r="C47" s="65"/>
      <c r="D47" s="65"/>
      <c r="E47" s="65"/>
      <c r="F47" s="67">
        <f>ROUND(F3+F39+F42+F46,5)</f>
        <v>1510292.93</v>
      </c>
    </row>
    <row r="48" spans="1:6">
      <c r="A48" s="65"/>
      <c r="B48" s="65" t="s">
        <v>45</v>
      </c>
      <c r="C48" s="65"/>
      <c r="D48" s="65"/>
      <c r="E48" s="65"/>
      <c r="F48" s="67"/>
    </row>
    <row r="49" spans="1:6">
      <c r="A49" s="65"/>
      <c r="B49" s="65"/>
      <c r="C49" s="65" t="s">
        <v>46</v>
      </c>
      <c r="D49" s="65"/>
      <c r="E49" s="65"/>
      <c r="F49" s="67"/>
    </row>
    <row r="50" spans="1:6">
      <c r="A50" s="65"/>
      <c r="B50" s="65"/>
      <c r="C50" s="65"/>
      <c r="D50" s="65" t="s">
        <v>47</v>
      </c>
      <c r="E50" s="65"/>
      <c r="F50" s="67">
        <v>39000</v>
      </c>
    </row>
    <row r="51" spans="1:6" ht="15.75" thickBot="1">
      <c r="A51" s="65"/>
      <c r="B51" s="65"/>
      <c r="C51" s="65"/>
      <c r="D51" s="65" t="s">
        <v>48</v>
      </c>
      <c r="E51" s="65"/>
      <c r="F51" s="69">
        <v>230345.2</v>
      </c>
    </row>
    <row r="52" spans="1:6">
      <c r="A52" s="65"/>
      <c r="B52" s="65"/>
      <c r="C52" s="65" t="s">
        <v>49</v>
      </c>
      <c r="D52" s="65"/>
      <c r="E52" s="65"/>
      <c r="F52" s="67">
        <f>ROUND(SUM(F49:F51),5)</f>
        <v>269345.2</v>
      </c>
    </row>
    <row r="53" spans="1:6">
      <c r="A53" s="65"/>
      <c r="B53" s="65"/>
      <c r="C53" s="65" t="s">
        <v>50</v>
      </c>
      <c r="D53" s="65"/>
      <c r="E53" s="65"/>
      <c r="F53" s="67"/>
    </row>
    <row r="54" spans="1:6">
      <c r="A54" s="65"/>
      <c r="B54" s="65"/>
      <c r="C54" s="65"/>
      <c r="D54" s="65" t="s">
        <v>51</v>
      </c>
      <c r="E54" s="65"/>
      <c r="F54" s="67">
        <v>242021</v>
      </c>
    </row>
    <row r="55" spans="1:6" ht="15.75" thickBot="1">
      <c r="A55" s="65"/>
      <c r="B55" s="65"/>
      <c r="C55" s="65"/>
      <c r="D55" s="65" t="s">
        <v>52</v>
      </c>
      <c r="E55" s="65"/>
      <c r="F55" s="69">
        <v>49716.78</v>
      </c>
    </row>
    <row r="56" spans="1:6">
      <c r="A56" s="65"/>
      <c r="B56" s="65"/>
      <c r="C56" s="65" t="s">
        <v>53</v>
      </c>
      <c r="D56" s="65"/>
      <c r="E56" s="65"/>
      <c r="F56" s="67">
        <f>ROUND(SUM(F53:F55),5)</f>
        <v>291737.78000000003</v>
      </c>
    </row>
    <row r="57" spans="1:6" ht="15.75" thickBot="1">
      <c r="A57" s="65"/>
      <c r="B57" s="65"/>
      <c r="C57" s="65" t="s">
        <v>54</v>
      </c>
      <c r="D57" s="65"/>
      <c r="E57" s="65"/>
      <c r="F57" s="67">
        <v>-407205.98</v>
      </c>
    </row>
    <row r="58" spans="1:6" ht="15.75" thickBot="1">
      <c r="A58" s="65"/>
      <c r="B58" s="65" t="s">
        <v>55</v>
      </c>
      <c r="C58" s="65"/>
      <c r="D58" s="65"/>
      <c r="E58" s="65"/>
      <c r="F58" s="66">
        <f>ROUND(F48+F52+SUM(F56:F57),5)</f>
        <v>153877</v>
      </c>
    </row>
    <row r="59" spans="1:6" s="63" customFormat="1" ht="12" thickBot="1">
      <c r="A59" s="65" t="s">
        <v>56</v>
      </c>
      <c r="B59" s="65"/>
      <c r="C59" s="65"/>
      <c r="D59" s="65"/>
      <c r="E59" s="65"/>
      <c r="F59" s="64">
        <f>ROUND(F2+F47+F58,5)</f>
        <v>1664169.93</v>
      </c>
    </row>
    <row r="60" spans="1:6" ht="15.75" thickTop="1">
      <c r="A60" s="65" t="s">
        <v>57</v>
      </c>
      <c r="B60" s="65"/>
      <c r="C60" s="65"/>
      <c r="D60" s="65"/>
      <c r="E60" s="65"/>
      <c r="F60" s="67"/>
    </row>
    <row r="61" spans="1:6">
      <c r="A61" s="65"/>
      <c r="B61" s="65" t="s">
        <v>58</v>
      </c>
      <c r="C61" s="65"/>
      <c r="D61" s="65"/>
      <c r="E61" s="65"/>
      <c r="F61" s="67"/>
    </row>
    <row r="62" spans="1:6">
      <c r="A62" s="65"/>
      <c r="B62" s="65"/>
      <c r="C62" s="65" t="s">
        <v>59</v>
      </c>
      <c r="D62" s="65"/>
      <c r="E62" s="65"/>
      <c r="F62" s="67"/>
    </row>
    <row r="63" spans="1:6">
      <c r="A63" s="65"/>
      <c r="B63" s="65"/>
      <c r="C63" s="65"/>
      <c r="D63" s="65" t="s">
        <v>60</v>
      </c>
      <c r="E63" s="65"/>
      <c r="F63" s="67"/>
    </row>
    <row r="64" spans="1:6" ht="15.75" thickBot="1">
      <c r="A64" s="65"/>
      <c r="B64" s="65"/>
      <c r="C64" s="65"/>
      <c r="D64" s="65"/>
      <c r="E64" s="65" t="s">
        <v>60</v>
      </c>
      <c r="F64" s="69">
        <v>126688.25</v>
      </c>
    </row>
    <row r="65" spans="1:8">
      <c r="A65" s="65"/>
      <c r="B65" s="65"/>
      <c r="C65" s="65"/>
      <c r="D65" s="65" t="s">
        <v>61</v>
      </c>
      <c r="E65" s="65"/>
      <c r="F65" s="67">
        <f>ROUND(SUM(F63:F64),5)</f>
        <v>126688.25</v>
      </c>
    </row>
    <row r="66" spans="1:8">
      <c r="A66" s="65"/>
      <c r="B66" s="65"/>
      <c r="C66" s="65"/>
      <c r="D66" s="65" t="s">
        <v>62</v>
      </c>
      <c r="E66" s="65"/>
      <c r="F66" s="67"/>
    </row>
    <row r="67" spans="1:8">
      <c r="A67" s="65"/>
      <c r="B67" s="65"/>
      <c r="C67" s="65"/>
      <c r="D67" s="65"/>
      <c r="E67" s="65" t="s">
        <v>63</v>
      </c>
      <c r="F67" s="67">
        <v>280955.61</v>
      </c>
    </row>
    <row r="68" spans="1:8">
      <c r="A68" s="65"/>
      <c r="B68" s="65"/>
      <c r="C68" s="65"/>
      <c r="D68" s="65"/>
      <c r="E68" s="65" t="s">
        <v>64</v>
      </c>
      <c r="F68" s="67">
        <v>85133.11</v>
      </c>
    </row>
    <row r="69" spans="1:8" ht="15.75" thickBot="1">
      <c r="A69" s="65"/>
      <c r="B69" s="65"/>
      <c r="C69" s="65"/>
      <c r="D69" s="65"/>
      <c r="E69" s="65" t="s">
        <v>65</v>
      </c>
      <c r="F69" s="67">
        <v>1016.22</v>
      </c>
    </row>
    <row r="70" spans="1:8" ht="15.75" thickBot="1">
      <c r="A70" s="65"/>
      <c r="B70" s="65"/>
      <c r="C70" s="65"/>
      <c r="D70" s="65" t="s">
        <v>66</v>
      </c>
      <c r="E70" s="65"/>
      <c r="F70" s="68">
        <f>ROUND(SUM(F66:F69),5)</f>
        <v>367104.94</v>
      </c>
    </row>
    <row r="71" spans="1:8">
      <c r="A71" s="65"/>
      <c r="B71" s="65"/>
      <c r="C71" s="65" t="s">
        <v>67</v>
      </c>
      <c r="D71" s="65"/>
      <c r="E71" s="65"/>
      <c r="F71" s="67">
        <f>ROUND(F62+F65+F70,5)</f>
        <v>493793.19</v>
      </c>
      <c r="G71">
        <v>60469.56</v>
      </c>
      <c r="H71" s="99">
        <f>F71+G71</f>
        <v>554262.75</v>
      </c>
    </row>
    <row r="72" spans="1:8">
      <c r="A72" s="65"/>
      <c r="B72" s="65"/>
      <c r="C72" s="65" t="s">
        <v>68</v>
      </c>
      <c r="D72" s="65"/>
      <c r="E72" s="65"/>
      <c r="F72" s="67"/>
    </row>
    <row r="73" spans="1:8">
      <c r="A73" s="65"/>
      <c r="B73" s="65"/>
      <c r="C73" s="65"/>
      <c r="D73" s="65" t="s">
        <v>69</v>
      </c>
      <c r="E73" s="65"/>
      <c r="F73" s="67"/>
    </row>
    <row r="74" spans="1:8" ht="15.75" thickBot="1">
      <c r="A74" s="65"/>
      <c r="B74" s="65"/>
      <c r="C74" s="65"/>
      <c r="D74" s="65"/>
      <c r="E74" s="65" t="s">
        <v>70</v>
      </c>
      <c r="F74" s="67">
        <v>250000</v>
      </c>
    </row>
    <row r="75" spans="1:8" ht="15.75" thickBot="1">
      <c r="A75" s="65"/>
      <c r="B75" s="65"/>
      <c r="C75" s="65"/>
      <c r="D75" s="65" t="s">
        <v>71</v>
      </c>
      <c r="E75" s="65"/>
      <c r="F75" s="66">
        <f>ROUND(SUM(F73:F74),5)</f>
        <v>250000</v>
      </c>
    </row>
    <row r="76" spans="1:8" ht="15.75" thickBot="1">
      <c r="A76" s="65"/>
      <c r="B76" s="65"/>
      <c r="C76" s="65" t="s">
        <v>72</v>
      </c>
      <c r="D76" s="65"/>
      <c r="E76" s="65"/>
      <c r="F76" s="68">
        <f>ROUND(F72+F75,5)</f>
        <v>250000</v>
      </c>
    </row>
    <row r="77" spans="1:8">
      <c r="A77" s="65"/>
      <c r="B77" s="65" t="s">
        <v>73</v>
      </c>
      <c r="C77" s="65"/>
      <c r="D77" s="65"/>
      <c r="E77" s="65"/>
      <c r="F77" s="67">
        <f>ROUND(F61+F71+F76,5)</f>
        <v>743793.19</v>
      </c>
    </row>
    <row r="78" spans="1:8">
      <c r="A78" s="65"/>
      <c r="B78" s="65" t="s">
        <v>74</v>
      </c>
      <c r="C78" s="65"/>
      <c r="D78" s="65"/>
      <c r="E78" s="65"/>
      <c r="F78" s="67"/>
    </row>
    <row r="79" spans="1:8">
      <c r="A79" s="65"/>
      <c r="B79" s="65"/>
      <c r="C79" s="65" t="s">
        <v>75</v>
      </c>
      <c r="D79" s="65"/>
      <c r="E79" s="65"/>
      <c r="F79" s="67">
        <v>215184</v>
      </c>
    </row>
    <row r="80" spans="1:8">
      <c r="A80" s="65"/>
      <c r="B80" s="65"/>
      <c r="C80" s="65" t="s">
        <v>76</v>
      </c>
      <c r="D80" s="65"/>
      <c r="E80" s="65"/>
      <c r="F80" s="67">
        <v>8946.09</v>
      </c>
    </row>
    <row r="81" spans="1:6">
      <c r="A81" s="65"/>
      <c r="B81" s="65"/>
      <c r="C81" s="65" t="s">
        <v>77</v>
      </c>
      <c r="D81" s="65"/>
      <c r="E81" s="65"/>
      <c r="F81" s="67">
        <v>284306.26</v>
      </c>
    </row>
    <row r="82" spans="1:6" ht="15.75" thickBot="1">
      <c r="A82" s="65"/>
      <c r="B82" s="65"/>
      <c r="C82" s="65" t="s">
        <v>78</v>
      </c>
      <c r="D82" s="65"/>
      <c r="E82" s="65"/>
      <c r="F82" s="67">
        <v>427866.06</v>
      </c>
    </row>
    <row r="83" spans="1:6" ht="15.75" thickBot="1">
      <c r="A83" s="65"/>
      <c r="B83" s="65" t="s">
        <v>79</v>
      </c>
      <c r="C83" s="65"/>
      <c r="D83" s="65"/>
      <c r="E83" s="65"/>
      <c r="F83" s="66">
        <f>ROUND(SUM(F78:F82),5)</f>
        <v>936302.41</v>
      </c>
    </row>
    <row r="84" spans="1:6" s="63" customFormat="1" ht="12" thickBot="1">
      <c r="A84" s="65" t="s">
        <v>80</v>
      </c>
      <c r="B84" s="65"/>
      <c r="C84" s="65"/>
      <c r="D84" s="65"/>
      <c r="E84" s="65"/>
      <c r="F84" s="64">
        <f>ROUND(F60+F77+F83,5)</f>
        <v>1680095.6</v>
      </c>
    </row>
    <row r="85" spans="1:6" ht="15.75" thickTop="1"/>
  </sheetData>
  <pageMargins left="0.7" right="0.7" top="1" bottom="0.75" header="0.1" footer="0.3"/>
  <pageSetup orientation="portrait" r:id="rId1"/>
  <headerFooter>
    <oddHeader>&amp;L&amp;"Arial,Bold"&amp;8 11:44 AM
&amp;"Arial,Bold"&amp;8 07/28/26
&amp;"Arial,Bold"&amp;8 Accrual Basis&amp;C&amp;"Arial,Bold"&amp;12 Believe Schools Inc
&amp;"Arial,Bold"&amp;14 Balance Sheet
&amp;"Arial,Bold"&amp;10 As of June 30, 2026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E93E-8BF0-401E-B2BD-E31231B68463}">
  <dimension ref="A1:K252"/>
  <sheetViews>
    <sheetView tabSelected="1" workbookViewId="0">
      <pane xSplit="6" ySplit="2" topLeftCell="G22" activePane="bottomRight" state="frozenSplit"/>
      <selection pane="bottomRight" activeCell="G37" sqref="G37"/>
      <selection pane="bottomLeft" activeCell="A3" sqref="A3"/>
      <selection pane="topRight" activeCell="G1" sqref="G1"/>
    </sheetView>
  </sheetViews>
  <sheetFormatPr defaultRowHeight="15"/>
  <cols>
    <col min="1" max="5" width="3" style="2" customWidth="1"/>
    <col min="6" max="6" width="31.5703125" style="2" customWidth="1"/>
    <col min="7" max="7" width="10.28515625" bestFit="1" customWidth="1"/>
    <col min="8" max="8" width="2.28515625" customWidth="1"/>
    <col min="9" max="9" width="12.28515625" bestFit="1" customWidth="1"/>
    <col min="11" max="11" width="12.5703125" bestFit="1" customWidth="1"/>
  </cols>
  <sheetData>
    <row r="1" spans="1:9" ht="15.75" thickBot="1">
      <c r="A1" s="4"/>
      <c r="B1" s="4"/>
      <c r="C1" s="4"/>
      <c r="D1" s="4"/>
      <c r="E1" s="4"/>
      <c r="F1" s="4"/>
      <c r="G1" s="19"/>
      <c r="H1" s="20"/>
      <c r="I1" s="19"/>
    </row>
    <row r="2" spans="1:9" s="1" customFormat="1" ht="16.5" thickTop="1" thickBot="1">
      <c r="A2" s="12"/>
      <c r="B2" s="12"/>
      <c r="C2" s="12"/>
      <c r="D2" s="12"/>
      <c r="E2" s="12"/>
      <c r="F2" s="12"/>
      <c r="G2" s="18" t="s">
        <v>81</v>
      </c>
      <c r="H2" s="11"/>
      <c r="I2" s="18" t="s">
        <v>82</v>
      </c>
    </row>
    <row r="3" spans="1:9" ht="15.75" thickTop="1">
      <c r="A3" s="4"/>
      <c r="B3" s="4" t="s">
        <v>83</v>
      </c>
      <c r="C3" s="4"/>
      <c r="D3" s="4"/>
      <c r="E3" s="4"/>
      <c r="F3" s="4"/>
      <c r="G3" s="7"/>
      <c r="H3" s="6"/>
      <c r="I3" s="7"/>
    </row>
    <row r="4" spans="1:9">
      <c r="A4" s="4"/>
      <c r="B4" s="4"/>
      <c r="C4" s="4"/>
      <c r="D4" s="4" t="s">
        <v>84</v>
      </c>
      <c r="E4" s="4"/>
      <c r="F4" s="4"/>
      <c r="G4" s="7"/>
      <c r="H4" s="6"/>
      <c r="I4" s="7"/>
    </row>
    <row r="5" spans="1:9">
      <c r="A5" s="4"/>
      <c r="B5" s="4"/>
      <c r="C5" s="4"/>
      <c r="D5" s="4"/>
      <c r="E5" s="4" t="s">
        <v>85</v>
      </c>
      <c r="F5" s="4"/>
      <c r="G5" s="7">
        <v>270</v>
      </c>
      <c r="H5" s="6"/>
      <c r="I5" s="7">
        <v>134599.72</v>
      </c>
    </row>
    <row r="6" spans="1:9">
      <c r="A6" s="4"/>
      <c r="B6" s="4"/>
      <c r="C6" s="4"/>
      <c r="D6" s="4"/>
      <c r="E6" s="4" t="s">
        <v>86</v>
      </c>
      <c r="F6" s="4"/>
      <c r="G6" s="7">
        <v>4548.58</v>
      </c>
      <c r="H6" s="6"/>
      <c r="I6" s="7">
        <v>23136.03</v>
      </c>
    </row>
    <row r="7" spans="1:9">
      <c r="A7" s="4"/>
      <c r="B7" s="4"/>
      <c r="C7" s="4"/>
      <c r="D7" s="4"/>
      <c r="E7" s="4" t="s">
        <v>87</v>
      </c>
      <c r="F7" s="4"/>
      <c r="G7" s="7">
        <v>15812.22</v>
      </c>
      <c r="H7" s="6"/>
      <c r="I7" s="7">
        <v>37417.120000000003</v>
      </c>
    </row>
    <row r="8" spans="1:9">
      <c r="A8" s="4"/>
      <c r="B8" s="4"/>
      <c r="C8" s="4"/>
      <c r="D8" s="4"/>
      <c r="E8" s="4" t="s">
        <v>88</v>
      </c>
      <c r="F8" s="4"/>
      <c r="G8" s="7">
        <v>260176.36</v>
      </c>
      <c r="H8" s="6"/>
      <c r="I8" s="7">
        <v>352620.7</v>
      </c>
    </row>
    <row r="9" spans="1:9">
      <c r="A9" s="4"/>
      <c r="B9" s="4"/>
      <c r="C9" s="4"/>
      <c r="D9" s="4"/>
      <c r="E9" s="4" t="s">
        <v>89</v>
      </c>
      <c r="F9" s="4"/>
      <c r="G9" s="7">
        <v>0</v>
      </c>
      <c r="H9" s="6"/>
      <c r="I9" s="7">
        <v>0</v>
      </c>
    </row>
    <row r="10" spans="1:9">
      <c r="A10" s="4"/>
      <c r="B10" s="4"/>
      <c r="C10" s="4"/>
      <c r="D10" s="4"/>
      <c r="E10" s="4" t="s">
        <v>90</v>
      </c>
      <c r="F10" s="4"/>
      <c r="G10" s="7">
        <v>2791.07</v>
      </c>
      <c r="H10" s="6"/>
      <c r="I10" s="7">
        <v>23100.13</v>
      </c>
    </row>
    <row r="11" spans="1:9">
      <c r="A11" s="4"/>
      <c r="B11" s="4"/>
      <c r="C11" s="4"/>
      <c r="D11" s="4"/>
      <c r="E11" s="4" t="s">
        <v>91</v>
      </c>
      <c r="F11" s="4"/>
      <c r="G11" s="7">
        <v>669371.25</v>
      </c>
      <c r="H11" s="6"/>
      <c r="I11" s="7">
        <v>2883835.74</v>
      </c>
    </row>
    <row r="12" spans="1:9">
      <c r="A12" s="4"/>
      <c r="B12" s="4"/>
      <c r="C12" s="4"/>
      <c r="D12" s="4"/>
      <c r="E12" s="4" t="s">
        <v>92</v>
      </c>
      <c r="F12" s="4"/>
      <c r="G12" s="7">
        <v>60000</v>
      </c>
      <c r="H12" s="6"/>
      <c r="I12" s="7">
        <v>0</v>
      </c>
    </row>
    <row r="13" spans="1:9">
      <c r="A13" s="4"/>
      <c r="B13" s="4"/>
      <c r="C13" s="4"/>
      <c r="D13" s="4"/>
      <c r="E13" s="4" t="s">
        <v>93</v>
      </c>
      <c r="F13" s="4"/>
      <c r="G13" s="7">
        <v>0</v>
      </c>
      <c r="H13" s="6"/>
      <c r="I13" s="7">
        <v>124843.8</v>
      </c>
    </row>
    <row r="14" spans="1:9">
      <c r="A14" s="4"/>
      <c r="B14" s="4"/>
      <c r="C14" s="4"/>
      <c r="D14" s="4"/>
      <c r="E14" s="4" t="s">
        <v>94</v>
      </c>
      <c r="F14" s="4"/>
      <c r="G14" s="7">
        <v>0</v>
      </c>
      <c r="H14" s="6"/>
      <c r="I14" s="7">
        <v>429800</v>
      </c>
    </row>
    <row r="15" spans="1:9">
      <c r="A15" s="4"/>
      <c r="B15" s="4"/>
      <c r="C15" s="4"/>
      <c r="D15" s="4"/>
      <c r="E15" s="4" t="s">
        <v>95</v>
      </c>
      <c r="F15" s="4"/>
      <c r="G15" s="7">
        <v>1479.68</v>
      </c>
      <c r="H15" s="6"/>
      <c r="I15" s="7">
        <v>2999.68</v>
      </c>
    </row>
    <row r="16" spans="1:9">
      <c r="A16" s="4"/>
      <c r="B16" s="4"/>
      <c r="C16" s="4"/>
      <c r="D16" s="4"/>
      <c r="E16" s="4" t="s">
        <v>96</v>
      </c>
      <c r="F16" s="4"/>
      <c r="G16" s="7">
        <v>0</v>
      </c>
      <c r="H16" s="6"/>
      <c r="I16" s="7">
        <v>22413.99</v>
      </c>
    </row>
    <row r="17" spans="1:9">
      <c r="A17" s="4"/>
      <c r="B17" s="4"/>
      <c r="C17" s="4"/>
      <c r="D17" s="4"/>
      <c r="E17" s="4" t="s">
        <v>97</v>
      </c>
      <c r="F17" s="4"/>
      <c r="G17" s="7">
        <v>0</v>
      </c>
      <c r="H17" s="6"/>
      <c r="I17" s="7">
        <v>12254.29</v>
      </c>
    </row>
    <row r="18" spans="1:9">
      <c r="A18" s="4"/>
      <c r="B18" s="4"/>
      <c r="C18" s="4"/>
      <c r="D18" s="4"/>
      <c r="E18" s="4" t="s">
        <v>98</v>
      </c>
      <c r="F18" s="4"/>
      <c r="G18" s="7">
        <v>0</v>
      </c>
      <c r="H18" s="6"/>
      <c r="I18" s="7">
        <v>1029.3800000000001</v>
      </c>
    </row>
    <row r="19" spans="1:9">
      <c r="A19" s="4"/>
      <c r="B19" s="4"/>
      <c r="C19" s="4"/>
      <c r="D19" s="4"/>
      <c r="E19" s="4" t="s">
        <v>99</v>
      </c>
      <c r="F19" s="4"/>
      <c r="G19" s="7">
        <v>0</v>
      </c>
      <c r="H19" s="6"/>
      <c r="I19" s="7">
        <v>33175.97</v>
      </c>
    </row>
    <row r="20" spans="1:9">
      <c r="A20" s="4"/>
      <c r="B20" s="4"/>
      <c r="C20" s="4"/>
      <c r="D20" s="4"/>
      <c r="E20" s="4" t="s">
        <v>100</v>
      </c>
      <c r="F20" s="4"/>
      <c r="G20" s="7">
        <v>29277.77</v>
      </c>
      <c r="H20" s="6"/>
      <c r="I20" s="7">
        <v>141045.66</v>
      </c>
    </row>
    <row r="21" spans="1:9">
      <c r="A21" s="4"/>
      <c r="B21" s="4"/>
      <c r="C21" s="4"/>
      <c r="D21" s="4"/>
      <c r="E21" s="4" t="s">
        <v>101</v>
      </c>
      <c r="F21" s="4"/>
      <c r="G21" s="7">
        <v>9494.6</v>
      </c>
      <c r="H21" s="6"/>
      <c r="I21" s="7">
        <v>29458.799999999999</v>
      </c>
    </row>
    <row r="22" spans="1:9">
      <c r="A22" s="4"/>
      <c r="B22" s="4"/>
      <c r="C22" s="4"/>
      <c r="D22" s="4"/>
      <c r="E22" s="4" t="s">
        <v>102</v>
      </c>
      <c r="F22" s="4"/>
      <c r="G22" s="7">
        <v>345764.4</v>
      </c>
      <c r="H22" s="6"/>
      <c r="I22" s="7">
        <v>447030.8</v>
      </c>
    </row>
    <row r="23" spans="1:9">
      <c r="A23" s="4"/>
      <c r="B23" s="4"/>
      <c r="C23" s="4"/>
      <c r="D23" s="4"/>
      <c r="E23" s="4" t="s">
        <v>103</v>
      </c>
      <c r="F23" s="4"/>
      <c r="G23" s="7">
        <v>45404.49</v>
      </c>
      <c r="H23" s="6"/>
      <c r="I23" s="7">
        <v>197055.03</v>
      </c>
    </row>
    <row r="24" spans="1:9">
      <c r="A24" s="4"/>
      <c r="B24" s="4"/>
      <c r="C24" s="4"/>
      <c r="D24" s="4"/>
      <c r="E24" s="4" t="s">
        <v>104</v>
      </c>
      <c r="F24" s="4"/>
      <c r="G24" s="7">
        <v>0</v>
      </c>
      <c r="H24" s="6"/>
      <c r="I24" s="7">
        <v>16324.95</v>
      </c>
    </row>
    <row r="25" spans="1:9">
      <c r="A25" s="4"/>
      <c r="B25" s="4"/>
      <c r="C25" s="4"/>
      <c r="D25" s="4"/>
      <c r="E25" s="4" t="s">
        <v>105</v>
      </c>
      <c r="F25" s="4"/>
      <c r="G25" s="7">
        <v>0</v>
      </c>
      <c r="H25" s="6"/>
      <c r="I25" s="7">
        <v>9747.34</v>
      </c>
    </row>
    <row r="26" spans="1:9">
      <c r="A26" s="4"/>
      <c r="B26" s="4"/>
      <c r="C26" s="4"/>
      <c r="D26" s="4"/>
      <c r="E26" s="4" t="s">
        <v>106</v>
      </c>
      <c r="F26" s="4"/>
      <c r="G26" s="7"/>
      <c r="H26" s="6"/>
      <c r="I26" s="7"/>
    </row>
    <row r="27" spans="1:9" ht="15.75" thickBot="1">
      <c r="A27" s="4"/>
      <c r="B27" s="4"/>
      <c r="C27" s="4"/>
      <c r="D27" s="4"/>
      <c r="E27" s="4"/>
      <c r="F27" s="4" t="s">
        <v>107</v>
      </c>
      <c r="G27" s="9">
        <v>0</v>
      </c>
      <c r="H27" s="6"/>
      <c r="I27" s="9">
        <v>5860</v>
      </c>
    </row>
    <row r="28" spans="1:9">
      <c r="A28" s="4"/>
      <c r="B28" s="4"/>
      <c r="C28" s="4"/>
      <c r="D28" s="4"/>
      <c r="E28" s="4" t="s">
        <v>108</v>
      </c>
      <c r="F28" s="4"/>
      <c r="G28" s="7">
        <f>ROUND(SUM(G26:G27),5)</f>
        <v>0</v>
      </c>
      <c r="H28" s="6"/>
      <c r="I28" s="7">
        <f>ROUND(SUM(I26:I27),5)</f>
        <v>5860</v>
      </c>
    </row>
    <row r="29" spans="1:9">
      <c r="A29" s="4"/>
      <c r="B29" s="4"/>
      <c r="C29" s="4"/>
      <c r="D29" s="4"/>
      <c r="E29" s="95" t="s">
        <v>109</v>
      </c>
      <c r="F29" s="95"/>
      <c r="G29" s="96">
        <v>0</v>
      </c>
      <c r="H29" s="97"/>
      <c r="I29" s="96">
        <v>0</v>
      </c>
    </row>
    <row r="30" spans="1:9">
      <c r="A30" s="4"/>
      <c r="B30" s="4"/>
      <c r="C30" s="4"/>
      <c r="D30" s="4"/>
      <c r="E30" s="95" t="s">
        <v>110</v>
      </c>
      <c r="F30" s="95"/>
      <c r="G30" s="96">
        <v>0</v>
      </c>
      <c r="H30" s="97"/>
      <c r="I30" s="96">
        <v>0</v>
      </c>
    </row>
    <row r="31" spans="1:9" ht="15.75" thickBot="1">
      <c r="A31" s="4"/>
      <c r="B31" s="4"/>
      <c r="C31" s="4"/>
      <c r="D31" s="4"/>
      <c r="E31" s="4" t="s">
        <v>111</v>
      </c>
      <c r="F31" s="4"/>
      <c r="G31" s="7">
        <v>0</v>
      </c>
      <c r="H31" s="6"/>
      <c r="I31" s="7">
        <v>21389.71</v>
      </c>
    </row>
    <row r="32" spans="1:9" ht="15.75" thickBot="1">
      <c r="A32" s="4"/>
      <c r="B32" s="4"/>
      <c r="C32" s="4"/>
      <c r="D32" s="4" t="s">
        <v>112</v>
      </c>
      <c r="E32" s="4"/>
      <c r="F32" s="4"/>
      <c r="G32" s="8">
        <f>ROUND(SUM(G4:G25)+SUM(G28:G31),5)</f>
        <v>1444390.42</v>
      </c>
      <c r="H32" s="6"/>
      <c r="I32" s="8">
        <f>ROUND(SUM(I4:I25)+SUM(I28:I31),5)</f>
        <v>4949138.84</v>
      </c>
    </row>
    <row r="33" spans="1:9">
      <c r="A33" s="4"/>
      <c r="B33" s="4"/>
      <c r="C33" s="4" t="s">
        <v>113</v>
      </c>
      <c r="D33" s="4"/>
      <c r="E33" s="4"/>
      <c r="F33" s="4"/>
      <c r="G33" s="7">
        <f>G32</f>
        <v>1444390.42</v>
      </c>
      <c r="H33" s="6"/>
      <c r="I33" s="7">
        <f>I32</f>
        <v>4949138.84</v>
      </c>
    </row>
    <row r="34" spans="1:9">
      <c r="A34" s="4"/>
      <c r="B34" s="4"/>
      <c r="C34" s="4"/>
      <c r="D34" s="4" t="s">
        <v>114</v>
      </c>
      <c r="E34" s="4"/>
      <c r="F34" s="4"/>
      <c r="G34" s="7"/>
      <c r="H34" s="6"/>
      <c r="I34" s="7"/>
    </row>
    <row r="35" spans="1:9">
      <c r="A35" s="4"/>
      <c r="B35" s="4"/>
      <c r="C35" s="4"/>
      <c r="D35" s="4"/>
      <c r="E35" s="95" t="s">
        <v>115</v>
      </c>
      <c r="F35" s="95"/>
      <c r="G35" s="96">
        <v>0</v>
      </c>
      <c r="H35" s="97"/>
      <c r="I35" s="96">
        <v>0</v>
      </c>
    </row>
    <row r="36" spans="1:9">
      <c r="A36" s="4"/>
      <c r="B36" s="4"/>
      <c r="C36" s="4"/>
      <c r="D36" s="4"/>
      <c r="E36" s="95" t="s">
        <v>116</v>
      </c>
      <c r="F36" s="95"/>
      <c r="G36" s="96">
        <v>0</v>
      </c>
      <c r="H36" s="97"/>
      <c r="I36" s="96">
        <v>0</v>
      </c>
    </row>
    <row r="37" spans="1:9">
      <c r="A37" s="4"/>
      <c r="B37" s="4"/>
      <c r="C37" s="4"/>
      <c r="D37" s="4"/>
      <c r="E37" s="4" t="s">
        <v>117</v>
      </c>
      <c r="F37" s="4"/>
      <c r="G37" s="7"/>
      <c r="H37" s="6"/>
      <c r="I37" s="7"/>
    </row>
    <row r="38" spans="1:9">
      <c r="A38" s="4"/>
      <c r="B38" s="4"/>
      <c r="C38" s="4"/>
      <c r="D38" s="4"/>
      <c r="E38" s="4"/>
      <c r="F38" s="4" t="s">
        <v>118</v>
      </c>
      <c r="G38" s="7">
        <v>217959.83</v>
      </c>
      <c r="H38" s="6"/>
      <c r="I38" s="7">
        <v>822906.61</v>
      </c>
    </row>
    <row r="39" spans="1:9">
      <c r="A39" s="4"/>
      <c r="B39" s="4"/>
      <c r="C39" s="4"/>
      <c r="D39" s="4"/>
      <c r="E39" s="4"/>
      <c r="F39" s="4" t="s">
        <v>119</v>
      </c>
      <c r="G39" s="7">
        <v>0</v>
      </c>
      <c r="H39" s="6"/>
      <c r="I39" s="7">
        <v>2500</v>
      </c>
    </row>
    <row r="40" spans="1:9">
      <c r="A40" s="4"/>
      <c r="B40" s="4"/>
      <c r="C40" s="4"/>
      <c r="D40" s="4"/>
      <c r="E40" s="4"/>
      <c r="F40" s="4" t="s">
        <v>120</v>
      </c>
      <c r="G40" s="7">
        <v>25398.720000000001</v>
      </c>
      <c r="H40" s="6"/>
      <c r="I40" s="7">
        <v>107826.85</v>
      </c>
    </row>
    <row r="41" spans="1:9">
      <c r="A41" s="4"/>
      <c r="B41" s="4"/>
      <c r="C41" s="4"/>
      <c r="D41" s="4"/>
      <c r="E41" s="4"/>
      <c r="F41" s="4" t="s">
        <v>121</v>
      </c>
      <c r="G41" s="7">
        <v>4975</v>
      </c>
      <c r="H41" s="6"/>
      <c r="I41" s="7">
        <v>17787.5</v>
      </c>
    </row>
    <row r="42" spans="1:9">
      <c r="A42" s="4"/>
      <c r="B42" s="4"/>
      <c r="C42" s="4"/>
      <c r="D42" s="4"/>
      <c r="E42" s="4"/>
      <c r="F42" s="4" t="s">
        <v>122</v>
      </c>
      <c r="G42" s="7">
        <v>105</v>
      </c>
      <c r="H42" s="6"/>
      <c r="I42" s="7">
        <v>705</v>
      </c>
    </row>
    <row r="43" spans="1:9">
      <c r="A43" s="4"/>
      <c r="B43" s="4"/>
      <c r="C43" s="4"/>
      <c r="D43" s="4"/>
      <c r="E43" s="4"/>
      <c r="F43" s="4" t="s">
        <v>123</v>
      </c>
      <c r="G43" s="7">
        <v>2305</v>
      </c>
      <c r="H43" s="6"/>
      <c r="I43" s="7">
        <v>41770</v>
      </c>
    </row>
    <row r="44" spans="1:9">
      <c r="A44" s="4"/>
      <c r="B44" s="4"/>
      <c r="C44" s="4"/>
      <c r="D44" s="4"/>
      <c r="E44" s="4"/>
      <c r="F44" s="4" t="s">
        <v>124</v>
      </c>
      <c r="G44" s="7">
        <v>3509.98</v>
      </c>
      <c r="H44" s="6"/>
      <c r="I44" s="7">
        <v>15833.69</v>
      </c>
    </row>
    <row r="45" spans="1:9">
      <c r="A45" s="4"/>
      <c r="B45" s="4"/>
      <c r="C45" s="4"/>
      <c r="D45" s="4"/>
      <c r="E45" s="4"/>
      <c r="F45" s="4" t="s">
        <v>125</v>
      </c>
      <c r="G45" s="7">
        <v>14714.28</v>
      </c>
      <c r="H45" s="6"/>
      <c r="I45" s="7">
        <v>56858.43</v>
      </c>
    </row>
    <row r="46" spans="1:9">
      <c r="A46" s="4"/>
      <c r="B46" s="4"/>
      <c r="C46" s="4"/>
      <c r="D46" s="4"/>
      <c r="E46" s="4"/>
      <c r="F46" s="4" t="s">
        <v>126</v>
      </c>
      <c r="G46" s="7">
        <v>31139.91</v>
      </c>
      <c r="H46" s="6"/>
      <c r="I46" s="7">
        <v>107970.4</v>
      </c>
    </row>
    <row r="47" spans="1:9">
      <c r="A47" s="4"/>
      <c r="B47" s="4"/>
      <c r="C47" s="4"/>
      <c r="D47" s="4"/>
      <c r="E47" s="4"/>
      <c r="F47" s="4" t="s">
        <v>127</v>
      </c>
      <c r="G47" s="7">
        <v>722.46</v>
      </c>
      <c r="H47" s="6"/>
      <c r="I47" s="7">
        <v>21444.58</v>
      </c>
    </row>
    <row r="48" spans="1:9">
      <c r="A48" s="4"/>
      <c r="B48" s="4"/>
      <c r="C48" s="4"/>
      <c r="D48" s="4"/>
      <c r="E48" s="4"/>
      <c r="F48" s="4" t="s">
        <v>128</v>
      </c>
      <c r="G48" s="7">
        <v>3437.49</v>
      </c>
      <c r="H48" s="6"/>
      <c r="I48" s="7">
        <v>2216.4499999999998</v>
      </c>
    </row>
    <row r="49" spans="1:9">
      <c r="A49" s="4"/>
      <c r="B49" s="4"/>
      <c r="C49" s="4"/>
      <c r="D49" s="4"/>
      <c r="E49" s="4"/>
      <c r="F49" s="4" t="s">
        <v>129</v>
      </c>
      <c r="G49" s="7">
        <v>713.71</v>
      </c>
      <c r="H49" s="6"/>
      <c r="I49" s="7">
        <v>2651.57</v>
      </c>
    </row>
    <row r="50" spans="1:9">
      <c r="A50" s="4"/>
      <c r="B50" s="4"/>
      <c r="C50" s="4"/>
      <c r="D50" s="4"/>
      <c r="E50" s="4"/>
      <c r="F50" s="4" t="s">
        <v>130</v>
      </c>
      <c r="G50" s="7">
        <v>33144.26</v>
      </c>
      <c r="H50" s="6"/>
      <c r="I50" s="7">
        <v>40050.160000000003</v>
      </c>
    </row>
    <row r="51" spans="1:9">
      <c r="A51" s="4"/>
      <c r="B51" s="4"/>
      <c r="C51" s="4"/>
      <c r="D51" s="4"/>
      <c r="E51" s="4"/>
      <c r="F51" s="4" t="s">
        <v>131</v>
      </c>
      <c r="G51" s="7">
        <v>2025</v>
      </c>
      <c r="H51" s="6"/>
      <c r="I51" s="7">
        <v>7115.68</v>
      </c>
    </row>
    <row r="52" spans="1:9">
      <c r="A52" s="4"/>
      <c r="B52" s="4"/>
      <c r="C52" s="4"/>
      <c r="D52" s="4"/>
      <c r="E52" s="4"/>
      <c r="F52" s="4" t="s">
        <v>132</v>
      </c>
      <c r="G52" s="7">
        <v>0</v>
      </c>
      <c r="H52" s="6"/>
      <c r="I52" s="7">
        <v>865.95</v>
      </c>
    </row>
    <row r="53" spans="1:9">
      <c r="A53" s="4"/>
      <c r="B53" s="4"/>
      <c r="C53" s="4"/>
      <c r="D53" s="4"/>
      <c r="E53" s="4"/>
      <c r="F53" s="4" t="s">
        <v>133</v>
      </c>
      <c r="G53" s="7">
        <v>3686.17</v>
      </c>
      <c r="H53" s="6"/>
      <c r="I53" s="7">
        <v>57544.44</v>
      </c>
    </row>
    <row r="54" spans="1:9">
      <c r="A54" s="4"/>
      <c r="B54" s="4"/>
      <c r="C54" s="4"/>
      <c r="D54" s="4"/>
      <c r="E54" s="4"/>
      <c r="F54" s="4" t="s">
        <v>134</v>
      </c>
      <c r="G54" s="7">
        <v>168</v>
      </c>
      <c r="H54" s="6"/>
      <c r="I54" s="7">
        <v>398.53</v>
      </c>
    </row>
    <row r="55" spans="1:9">
      <c r="A55" s="4"/>
      <c r="B55" s="4"/>
      <c r="C55" s="4"/>
      <c r="D55" s="4"/>
      <c r="E55" s="4"/>
      <c r="F55" s="4" t="s">
        <v>135</v>
      </c>
      <c r="G55" s="7">
        <v>35098.03</v>
      </c>
      <c r="H55" s="6"/>
      <c r="I55" s="7">
        <v>113450.02</v>
      </c>
    </row>
    <row r="56" spans="1:9">
      <c r="A56" s="4"/>
      <c r="B56" s="4"/>
      <c r="C56" s="4"/>
      <c r="D56" s="4"/>
      <c r="E56" s="4"/>
      <c r="F56" s="4" t="s">
        <v>136</v>
      </c>
      <c r="G56" s="7">
        <v>2000</v>
      </c>
      <c r="H56" s="6"/>
      <c r="I56" s="7">
        <v>3800</v>
      </c>
    </row>
    <row r="57" spans="1:9">
      <c r="A57" s="4"/>
      <c r="B57" s="4"/>
      <c r="C57" s="4"/>
      <c r="D57" s="4"/>
      <c r="E57" s="4"/>
      <c r="F57" s="4" t="s">
        <v>137</v>
      </c>
      <c r="G57" s="7">
        <v>0</v>
      </c>
      <c r="H57" s="6"/>
      <c r="I57" s="7">
        <v>21739.3</v>
      </c>
    </row>
    <row r="58" spans="1:9">
      <c r="A58" s="4"/>
      <c r="B58" s="4"/>
      <c r="C58" s="4"/>
      <c r="D58" s="4"/>
      <c r="E58" s="4"/>
      <c r="F58" s="4" t="s">
        <v>138</v>
      </c>
      <c r="G58" s="7">
        <v>9479.5</v>
      </c>
      <c r="H58" s="6"/>
      <c r="I58" s="7">
        <v>9479.5</v>
      </c>
    </row>
    <row r="59" spans="1:9">
      <c r="A59" s="4"/>
      <c r="B59" s="4"/>
      <c r="C59" s="4"/>
      <c r="D59" s="4"/>
      <c r="E59" s="4"/>
      <c r="F59" s="4" t="s">
        <v>139</v>
      </c>
      <c r="G59" s="7">
        <v>128.49</v>
      </c>
      <c r="H59" s="6"/>
      <c r="I59" s="7">
        <v>128.49</v>
      </c>
    </row>
    <row r="60" spans="1:9">
      <c r="A60" s="4"/>
      <c r="B60" s="4"/>
      <c r="C60" s="4"/>
      <c r="D60" s="4"/>
      <c r="E60" s="4"/>
      <c r="F60" s="4" t="s">
        <v>140</v>
      </c>
      <c r="G60" s="7">
        <v>6771.63</v>
      </c>
      <c r="H60" s="6"/>
      <c r="I60" s="7">
        <v>38882.32</v>
      </c>
    </row>
    <row r="61" spans="1:9">
      <c r="A61" s="4"/>
      <c r="B61" s="4"/>
      <c r="C61" s="4"/>
      <c r="D61" s="4"/>
      <c r="E61" s="4"/>
      <c r="F61" s="4" t="s">
        <v>141</v>
      </c>
      <c r="G61" s="7">
        <v>353.36</v>
      </c>
      <c r="H61" s="6"/>
      <c r="I61" s="7">
        <v>777.21</v>
      </c>
    </row>
    <row r="62" spans="1:9">
      <c r="A62" s="4"/>
      <c r="B62" s="4"/>
      <c r="C62" s="4"/>
      <c r="D62" s="4"/>
      <c r="E62" s="4"/>
      <c r="F62" s="4" t="s">
        <v>142</v>
      </c>
      <c r="G62" s="7">
        <v>-273.33</v>
      </c>
      <c r="H62" s="6"/>
      <c r="I62" s="7">
        <v>42248.13</v>
      </c>
    </row>
    <row r="63" spans="1:9">
      <c r="A63" s="4"/>
      <c r="B63" s="4"/>
      <c r="C63" s="4"/>
      <c r="D63" s="4"/>
      <c r="E63" s="4"/>
      <c r="F63" s="4" t="s">
        <v>143</v>
      </c>
      <c r="G63" s="7">
        <v>0</v>
      </c>
      <c r="H63" s="6"/>
      <c r="I63" s="7">
        <v>5067.5600000000004</v>
      </c>
    </row>
    <row r="64" spans="1:9">
      <c r="A64" s="4"/>
      <c r="B64" s="4"/>
      <c r="C64" s="4"/>
      <c r="D64" s="4"/>
      <c r="E64" s="4"/>
      <c r="F64" s="4" t="s">
        <v>144</v>
      </c>
      <c r="G64" s="7">
        <v>2719.52</v>
      </c>
      <c r="H64" s="6"/>
      <c r="I64" s="7">
        <v>15660.93</v>
      </c>
    </row>
    <row r="65" spans="1:9">
      <c r="A65" s="4"/>
      <c r="B65" s="4"/>
      <c r="C65" s="4"/>
      <c r="D65" s="4"/>
      <c r="E65" s="4"/>
      <c r="F65" s="4" t="s">
        <v>145</v>
      </c>
      <c r="G65" s="7">
        <v>17179.05</v>
      </c>
      <c r="H65" s="6"/>
      <c r="I65" s="7">
        <v>68786.03</v>
      </c>
    </row>
    <row r="66" spans="1:9">
      <c r="A66" s="4"/>
      <c r="B66" s="4"/>
      <c r="C66" s="4"/>
      <c r="D66" s="4"/>
      <c r="E66" s="4"/>
      <c r="F66" s="4" t="s">
        <v>146</v>
      </c>
      <c r="G66" s="7">
        <v>5100</v>
      </c>
      <c r="H66" s="6"/>
      <c r="I66" s="7">
        <v>5236.43</v>
      </c>
    </row>
    <row r="67" spans="1:9" ht="15.75" thickBot="1">
      <c r="A67" s="4"/>
      <c r="B67" s="4"/>
      <c r="C67" s="4"/>
      <c r="D67" s="4"/>
      <c r="E67" s="4"/>
      <c r="F67" s="4" t="s">
        <v>147</v>
      </c>
      <c r="G67" s="9">
        <v>5174.68</v>
      </c>
      <c r="H67" s="6"/>
      <c r="I67" s="9">
        <v>23897.279999999999</v>
      </c>
    </row>
    <row r="68" spans="1:9">
      <c r="A68" s="4"/>
      <c r="B68" s="4"/>
      <c r="C68" s="4"/>
      <c r="D68" s="4"/>
      <c r="E68" s="4" t="s">
        <v>148</v>
      </c>
      <c r="F68" s="4"/>
      <c r="G68" s="7">
        <f>ROUND(SUM(G37:G67),5)</f>
        <v>427735.74</v>
      </c>
      <c r="H68" s="6"/>
      <c r="I68" s="7">
        <f>ROUND(SUM(I37:I67),5)</f>
        <v>1655599.04</v>
      </c>
    </row>
    <row r="69" spans="1:9">
      <c r="A69" s="4"/>
      <c r="B69" s="4"/>
      <c r="C69" s="4"/>
      <c r="D69" s="4"/>
      <c r="E69" s="4" t="s">
        <v>149</v>
      </c>
      <c r="F69" s="4"/>
      <c r="G69" s="7"/>
      <c r="H69" s="6"/>
      <c r="I69" s="7"/>
    </row>
    <row r="70" spans="1:9" ht="15.75" thickBot="1">
      <c r="A70" s="4"/>
      <c r="B70" s="4"/>
      <c r="C70" s="4"/>
      <c r="D70" s="4"/>
      <c r="E70" s="4"/>
      <c r="F70" s="4" t="s">
        <v>150</v>
      </c>
      <c r="G70" s="9">
        <v>0</v>
      </c>
      <c r="H70" s="6"/>
      <c r="I70" s="9">
        <v>5853.5</v>
      </c>
    </row>
    <row r="71" spans="1:9">
      <c r="A71" s="4"/>
      <c r="B71" s="4"/>
      <c r="C71" s="4"/>
      <c r="D71" s="4"/>
      <c r="E71" s="4" t="s">
        <v>151</v>
      </c>
      <c r="F71" s="4"/>
      <c r="G71" s="7">
        <f>ROUND(SUM(G69:G70),5)</f>
        <v>0</v>
      </c>
      <c r="H71" s="6"/>
      <c r="I71" s="7">
        <f>ROUND(SUM(I69:I70),5)</f>
        <v>5853.5</v>
      </c>
    </row>
    <row r="72" spans="1:9">
      <c r="A72" s="4"/>
      <c r="B72" s="4"/>
      <c r="C72" s="4"/>
      <c r="D72" s="4"/>
      <c r="E72" s="4" t="s">
        <v>152</v>
      </c>
      <c r="F72" s="4"/>
      <c r="G72" s="7"/>
      <c r="H72" s="6"/>
      <c r="I72" s="7"/>
    </row>
    <row r="73" spans="1:9">
      <c r="A73" s="4"/>
      <c r="B73" s="4"/>
      <c r="C73" s="4"/>
      <c r="D73" s="4"/>
      <c r="E73" s="4"/>
      <c r="F73" s="4" t="s">
        <v>153</v>
      </c>
      <c r="G73" s="7">
        <v>46980</v>
      </c>
      <c r="H73" s="6"/>
      <c r="I73" s="7">
        <v>132696.63</v>
      </c>
    </row>
    <row r="74" spans="1:9">
      <c r="A74" s="4"/>
      <c r="B74" s="4"/>
      <c r="C74" s="4"/>
      <c r="D74" s="4"/>
      <c r="E74" s="4"/>
      <c r="F74" s="4" t="s">
        <v>154</v>
      </c>
      <c r="G74" s="7">
        <v>19907.05</v>
      </c>
      <c r="H74" s="6"/>
      <c r="I74" s="7">
        <v>78996.55</v>
      </c>
    </row>
    <row r="75" spans="1:9">
      <c r="A75" s="4"/>
      <c r="B75" s="4"/>
      <c r="C75" s="4"/>
      <c r="D75" s="4"/>
      <c r="E75" s="4"/>
      <c r="F75" s="4" t="s">
        <v>155</v>
      </c>
      <c r="G75" s="7">
        <v>0</v>
      </c>
      <c r="H75" s="6"/>
      <c r="I75" s="7">
        <v>4343</v>
      </c>
    </row>
    <row r="76" spans="1:9">
      <c r="A76" s="4"/>
      <c r="B76" s="4"/>
      <c r="C76" s="4"/>
      <c r="D76" s="4"/>
      <c r="E76" s="4"/>
      <c r="F76" s="4" t="s">
        <v>156</v>
      </c>
      <c r="G76" s="7">
        <v>1142.0999999999999</v>
      </c>
      <c r="H76" s="6"/>
      <c r="I76" s="7">
        <v>4279.3999999999996</v>
      </c>
    </row>
    <row r="77" spans="1:9">
      <c r="A77" s="4"/>
      <c r="B77" s="4"/>
      <c r="C77" s="4"/>
      <c r="D77" s="4"/>
      <c r="E77" s="4"/>
      <c r="F77" s="4" t="s">
        <v>157</v>
      </c>
      <c r="G77" s="7">
        <v>3808.48</v>
      </c>
      <c r="H77" s="6"/>
      <c r="I77" s="7">
        <v>12146.47</v>
      </c>
    </row>
    <row r="78" spans="1:9">
      <c r="A78" s="4"/>
      <c r="B78" s="4"/>
      <c r="C78" s="4"/>
      <c r="D78" s="4"/>
      <c r="E78" s="4"/>
      <c r="F78" s="4" t="s">
        <v>158</v>
      </c>
      <c r="G78" s="7">
        <v>-805.71</v>
      </c>
      <c r="H78" s="6"/>
      <c r="I78" s="7">
        <v>949.55</v>
      </c>
    </row>
    <row r="79" spans="1:9">
      <c r="A79" s="4"/>
      <c r="B79" s="4"/>
      <c r="C79" s="4"/>
      <c r="D79" s="4"/>
      <c r="E79" s="4"/>
      <c r="F79" s="4" t="s">
        <v>159</v>
      </c>
      <c r="G79" s="7">
        <v>0.01</v>
      </c>
      <c r="H79" s="6"/>
      <c r="I79" s="7">
        <v>0.01</v>
      </c>
    </row>
    <row r="80" spans="1:9">
      <c r="A80" s="4"/>
      <c r="B80" s="4"/>
      <c r="C80" s="4"/>
      <c r="D80" s="4"/>
      <c r="E80" s="4"/>
      <c r="F80" s="4" t="s">
        <v>160</v>
      </c>
      <c r="G80" s="7">
        <v>0</v>
      </c>
      <c r="H80" s="6"/>
      <c r="I80" s="7">
        <v>746.91</v>
      </c>
    </row>
    <row r="81" spans="1:9" ht="15.75" thickBot="1">
      <c r="A81" s="4"/>
      <c r="B81" s="4"/>
      <c r="C81" s="4"/>
      <c r="D81" s="4"/>
      <c r="E81" s="4"/>
      <c r="F81" s="4" t="s">
        <v>161</v>
      </c>
      <c r="G81" s="9">
        <v>17406.060000000001</v>
      </c>
      <c r="H81" s="6"/>
      <c r="I81" s="9">
        <v>60676.9</v>
      </c>
    </row>
    <row r="82" spans="1:9">
      <c r="A82" s="4"/>
      <c r="B82" s="4"/>
      <c r="C82" s="4"/>
      <c r="D82" s="4"/>
      <c r="E82" s="4" t="s">
        <v>162</v>
      </c>
      <c r="F82" s="4"/>
      <c r="G82" s="7">
        <f>ROUND(SUM(G72:G81),5)</f>
        <v>88437.99</v>
      </c>
      <c r="H82" s="6"/>
      <c r="I82" s="7">
        <f>ROUND(SUM(I72:I81),5)</f>
        <v>294835.42</v>
      </c>
    </row>
    <row r="83" spans="1:9">
      <c r="A83" s="4"/>
      <c r="B83" s="4"/>
      <c r="C83" s="4"/>
      <c r="D83" s="4"/>
      <c r="E83" s="4" t="s">
        <v>163</v>
      </c>
      <c r="F83" s="4"/>
      <c r="G83" s="7"/>
      <c r="H83" s="6"/>
      <c r="I83" s="7"/>
    </row>
    <row r="84" spans="1:9" ht="15.75" thickBot="1">
      <c r="A84" s="4"/>
      <c r="B84" s="4"/>
      <c r="C84" s="4"/>
      <c r="D84" s="4"/>
      <c r="E84" s="4"/>
      <c r="F84" s="4" t="s">
        <v>164</v>
      </c>
      <c r="G84" s="9">
        <v>2204</v>
      </c>
      <c r="H84" s="6"/>
      <c r="I84" s="9">
        <v>71415.990000000005</v>
      </c>
    </row>
    <row r="85" spans="1:9">
      <c r="A85" s="4"/>
      <c r="B85" s="4"/>
      <c r="C85" s="4"/>
      <c r="D85" s="4"/>
      <c r="E85" s="4" t="s">
        <v>165</v>
      </c>
      <c r="F85" s="4"/>
      <c r="G85" s="7">
        <f>ROUND(SUM(G83:G84),5)</f>
        <v>2204</v>
      </c>
      <c r="H85" s="6"/>
      <c r="I85" s="7">
        <f>ROUND(SUM(I83:I84),5)</f>
        <v>71415.990000000005</v>
      </c>
    </row>
    <row r="86" spans="1:9">
      <c r="A86" s="4"/>
      <c r="B86" s="4"/>
      <c r="C86" s="4"/>
      <c r="D86" s="4"/>
      <c r="E86" s="4" t="s">
        <v>166</v>
      </c>
      <c r="F86" s="4"/>
      <c r="G86" s="7"/>
      <c r="H86" s="6"/>
      <c r="I86" s="7"/>
    </row>
    <row r="87" spans="1:9">
      <c r="A87" s="4"/>
      <c r="B87" s="4"/>
      <c r="C87" s="4"/>
      <c r="D87" s="4"/>
      <c r="E87" s="4"/>
      <c r="F87" s="4" t="s">
        <v>167</v>
      </c>
      <c r="G87" s="7">
        <v>3600</v>
      </c>
      <c r="H87" s="6"/>
      <c r="I87" s="7">
        <v>3600</v>
      </c>
    </row>
    <row r="88" spans="1:9">
      <c r="A88" s="4"/>
      <c r="B88" s="4"/>
      <c r="C88" s="4"/>
      <c r="D88" s="4"/>
      <c r="E88" s="4"/>
      <c r="F88" s="4" t="s">
        <v>168</v>
      </c>
      <c r="G88" s="7">
        <v>28376.84</v>
      </c>
      <c r="H88" s="6"/>
      <c r="I88" s="7">
        <v>110235.6</v>
      </c>
    </row>
    <row r="89" spans="1:9">
      <c r="A89" s="4"/>
      <c r="B89" s="4"/>
      <c r="C89" s="4"/>
      <c r="D89" s="4"/>
      <c r="E89" s="4"/>
      <c r="F89" s="4" t="s">
        <v>169</v>
      </c>
      <c r="G89" s="7">
        <v>0</v>
      </c>
      <c r="H89" s="6"/>
      <c r="I89" s="7">
        <v>877</v>
      </c>
    </row>
    <row r="90" spans="1:9">
      <c r="A90" s="4"/>
      <c r="B90" s="4"/>
      <c r="C90" s="4"/>
      <c r="D90" s="4"/>
      <c r="E90" s="4"/>
      <c r="F90" s="4" t="s">
        <v>170</v>
      </c>
      <c r="G90" s="7">
        <v>372.12</v>
      </c>
      <c r="H90" s="6"/>
      <c r="I90" s="7">
        <v>166.19</v>
      </c>
    </row>
    <row r="91" spans="1:9">
      <c r="A91" s="4"/>
      <c r="B91" s="4"/>
      <c r="C91" s="4"/>
      <c r="D91" s="4"/>
      <c r="E91" s="4"/>
      <c r="F91" s="4" t="s">
        <v>171</v>
      </c>
      <c r="G91" s="7">
        <v>2288.73</v>
      </c>
      <c r="H91" s="6"/>
      <c r="I91" s="7">
        <v>8802.2900000000009</v>
      </c>
    </row>
    <row r="92" spans="1:9">
      <c r="A92" s="4"/>
      <c r="B92" s="4"/>
      <c r="C92" s="4"/>
      <c r="D92" s="4"/>
      <c r="E92" s="4"/>
      <c r="F92" s="4" t="s">
        <v>172</v>
      </c>
      <c r="G92" s="7">
        <v>2602.0500000000002</v>
      </c>
      <c r="H92" s="6"/>
      <c r="I92" s="7">
        <v>10088.200000000001</v>
      </c>
    </row>
    <row r="93" spans="1:9" ht="15.75" thickBot="1">
      <c r="A93" s="4"/>
      <c r="B93" s="4"/>
      <c r="C93" s="4"/>
      <c r="D93" s="4"/>
      <c r="E93" s="4"/>
      <c r="F93" s="4" t="s">
        <v>173</v>
      </c>
      <c r="G93" s="9">
        <v>0</v>
      </c>
      <c r="H93" s="6"/>
      <c r="I93" s="9">
        <v>0</v>
      </c>
    </row>
    <row r="94" spans="1:9">
      <c r="A94" s="4"/>
      <c r="B94" s="4"/>
      <c r="C94" s="4"/>
      <c r="D94" s="4"/>
      <c r="E94" s="4" t="s">
        <v>174</v>
      </c>
      <c r="F94" s="4"/>
      <c r="G94" s="7">
        <f>ROUND(SUM(G86:G93),5)</f>
        <v>37239.74</v>
      </c>
      <c r="H94" s="6"/>
      <c r="I94" s="7">
        <f>ROUND(SUM(I86:I93),5)</f>
        <v>133769.28</v>
      </c>
    </row>
    <row r="95" spans="1:9">
      <c r="A95" s="4"/>
      <c r="B95" s="4"/>
      <c r="C95" s="4"/>
      <c r="D95" s="4"/>
      <c r="E95" s="4" t="s">
        <v>175</v>
      </c>
      <c r="F95" s="4"/>
      <c r="G95" s="7"/>
      <c r="H95" s="6"/>
      <c r="I95" s="7"/>
    </row>
    <row r="96" spans="1:9">
      <c r="A96" s="4"/>
      <c r="B96" s="4"/>
      <c r="C96" s="4"/>
      <c r="D96" s="4"/>
      <c r="E96" s="4"/>
      <c r="F96" s="4" t="s">
        <v>176</v>
      </c>
      <c r="G96" s="7">
        <v>0</v>
      </c>
      <c r="H96" s="6"/>
      <c r="I96" s="7">
        <v>13016.38</v>
      </c>
    </row>
    <row r="97" spans="1:9" ht="15.75" thickBot="1">
      <c r="A97" s="4"/>
      <c r="B97" s="4"/>
      <c r="C97" s="4"/>
      <c r="D97" s="4"/>
      <c r="E97" s="4"/>
      <c r="F97" s="4" t="s">
        <v>177</v>
      </c>
      <c r="G97" s="9">
        <v>2598.34</v>
      </c>
      <c r="H97" s="6"/>
      <c r="I97" s="9">
        <v>10274.6</v>
      </c>
    </row>
    <row r="98" spans="1:9">
      <c r="A98" s="4"/>
      <c r="B98" s="4"/>
      <c r="C98" s="4"/>
      <c r="D98" s="4"/>
      <c r="E98" s="4" t="s">
        <v>178</v>
      </c>
      <c r="F98" s="4"/>
      <c r="G98" s="7">
        <f>ROUND(SUM(G95:G97),5)</f>
        <v>2598.34</v>
      </c>
      <c r="H98" s="6"/>
      <c r="I98" s="7">
        <f>ROUND(SUM(I95:I97),5)</f>
        <v>23290.98</v>
      </c>
    </row>
    <row r="99" spans="1:9">
      <c r="A99" s="4"/>
      <c r="B99" s="4"/>
      <c r="C99" s="4"/>
      <c r="D99" s="4"/>
      <c r="E99" s="4" t="s">
        <v>179</v>
      </c>
      <c r="F99" s="4"/>
      <c r="G99" s="7"/>
      <c r="H99" s="6"/>
      <c r="I99" s="7"/>
    </row>
    <row r="100" spans="1:9">
      <c r="A100" s="4"/>
      <c r="B100" s="4"/>
      <c r="C100" s="4"/>
      <c r="D100" s="4"/>
      <c r="E100" s="4"/>
      <c r="F100" s="4" t="s">
        <v>180</v>
      </c>
      <c r="G100" s="7">
        <v>0</v>
      </c>
      <c r="H100" s="6"/>
      <c r="I100" s="7">
        <v>1598</v>
      </c>
    </row>
    <row r="101" spans="1:9">
      <c r="A101" s="4"/>
      <c r="B101" s="4"/>
      <c r="C101" s="4"/>
      <c r="D101" s="4"/>
      <c r="E101" s="4"/>
      <c r="F101" s="4" t="s">
        <v>181</v>
      </c>
      <c r="G101" s="7">
        <v>0</v>
      </c>
      <c r="H101" s="6"/>
      <c r="I101" s="7">
        <v>4654.41</v>
      </c>
    </row>
    <row r="102" spans="1:9">
      <c r="A102" s="4"/>
      <c r="B102" s="4"/>
      <c r="C102" s="4"/>
      <c r="D102" s="4"/>
      <c r="E102" s="4"/>
      <c r="F102" s="4" t="s">
        <v>182</v>
      </c>
      <c r="G102" s="7">
        <v>0</v>
      </c>
      <c r="H102" s="6"/>
      <c r="I102" s="7">
        <v>123.46</v>
      </c>
    </row>
    <row r="103" spans="1:9" ht="15.75" thickBot="1">
      <c r="A103" s="4"/>
      <c r="B103" s="4"/>
      <c r="C103" s="4"/>
      <c r="D103" s="4"/>
      <c r="E103" s="4"/>
      <c r="F103" s="4" t="s">
        <v>183</v>
      </c>
      <c r="G103" s="9">
        <v>0</v>
      </c>
      <c r="H103" s="6"/>
      <c r="I103" s="9">
        <v>2729.52</v>
      </c>
    </row>
    <row r="104" spans="1:9">
      <c r="A104" s="4"/>
      <c r="B104" s="4"/>
      <c r="C104" s="4"/>
      <c r="D104" s="4"/>
      <c r="E104" s="4" t="s">
        <v>184</v>
      </c>
      <c r="F104" s="4"/>
      <c r="G104" s="7">
        <f>ROUND(SUM(G99:G103),5)</f>
        <v>0</v>
      </c>
      <c r="H104" s="6"/>
      <c r="I104" s="7">
        <f>ROUND(SUM(I99:I103),5)</f>
        <v>9105.39</v>
      </c>
    </row>
    <row r="105" spans="1:9">
      <c r="A105" s="4"/>
      <c r="B105" s="4"/>
      <c r="C105" s="4"/>
      <c r="D105" s="4"/>
      <c r="E105" s="4" t="s">
        <v>185</v>
      </c>
      <c r="F105" s="4"/>
      <c r="G105" s="7"/>
      <c r="H105" s="6"/>
      <c r="I105" s="7"/>
    </row>
    <row r="106" spans="1:9">
      <c r="A106" s="4"/>
      <c r="B106" s="4"/>
      <c r="C106" s="4"/>
      <c r="D106" s="4"/>
      <c r="E106" s="4"/>
      <c r="F106" s="4" t="s">
        <v>186</v>
      </c>
      <c r="G106" s="7">
        <v>1990</v>
      </c>
      <c r="H106" s="6"/>
      <c r="I106" s="7">
        <v>13909</v>
      </c>
    </row>
    <row r="107" spans="1:9">
      <c r="A107" s="4"/>
      <c r="B107" s="4"/>
      <c r="C107" s="4"/>
      <c r="D107" s="4"/>
      <c r="E107" s="4"/>
      <c r="F107" s="4" t="s">
        <v>187</v>
      </c>
      <c r="G107" s="7">
        <v>12243.92</v>
      </c>
      <c r="H107" s="6"/>
      <c r="I107" s="7">
        <v>25989.43</v>
      </c>
    </row>
    <row r="108" spans="1:9">
      <c r="A108" s="4"/>
      <c r="B108" s="4"/>
      <c r="C108" s="4"/>
      <c r="D108" s="4"/>
      <c r="E108" s="4"/>
      <c r="F108" s="4" t="s">
        <v>188</v>
      </c>
      <c r="G108" s="7">
        <v>0</v>
      </c>
      <c r="H108" s="6"/>
      <c r="I108" s="7">
        <v>539.88</v>
      </c>
    </row>
    <row r="109" spans="1:9">
      <c r="A109" s="4"/>
      <c r="B109" s="4"/>
      <c r="C109" s="4"/>
      <c r="D109" s="4"/>
      <c r="E109" s="4"/>
      <c r="F109" s="4" t="s">
        <v>189</v>
      </c>
      <c r="G109" s="7">
        <v>0</v>
      </c>
      <c r="H109" s="6"/>
      <c r="I109" s="7">
        <v>644.08000000000004</v>
      </c>
    </row>
    <row r="110" spans="1:9" ht="15.75" thickBot="1">
      <c r="A110" s="4"/>
      <c r="B110" s="4"/>
      <c r="C110" s="4"/>
      <c r="D110" s="4"/>
      <c r="E110" s="4"/>
      <c r="F110" s="4" t="s">
        <v>190</v>
      </c>
      <c r="G110" s="9">
        <v>792.75</v>
      </c>
      <c r="H110" s="6"/>
      <c r="I110" s="9">
        <v>3171</v>
      </c>
    </row>
    <row r="111" spans="1:9">
      <c r="A111" s="4"/>
      <c r="B111" s="4"/>
      <c r="C111" s="4"/>
      <c r="D111" s="4"/>
      <c r="E111" s="4" t="s">
        <v>191</v>
      </c>
      <c r="F111" s="4"/>
      <c r="G111" s="7">
        <f>ROUND(SUM(G105:G110),5)</f>
        <v>15026.67</v>
      </c>
      <c r="H111" s="6"/>
      <c r="I111" s="7">
        <f>ROUND(SUM(I105:I110),5)</f>
        <v>44253.39</v>
      </c>
    </row>
    <row r="112" spans="1:9">
      <c r="A112" s="4"/>
      <c r="B112" s="4"/>
      <c r="C112" s="4"/>
      <c r="D112" s="4"/>
      <c r="E112" s="4" t="s">
        <v>192</v>
      </c>
      <c r="F112" s="4"/>
      <c r="G112" s="7"/>
      <c r="H112" s="6"/>
      <c r="I112" s="7"/>
    </row>
    <row r="113" spans="1:9">
      <c r="A113" s="4"/>
      <c r="B113" s="4"/>
      <c r="C113" s="4"/>
      <c r="D113" s="4"/>
      <c r="E113" s="4"/>
      <c r="F113" s="4" t="s">
        <v>193</v>
      </c>
      <c r="G113" s="7">
        <v>8201</v>
      </c>
      <c r="H113" s="6"/>
      <c r="I113" s="7">
        <v>22935.07</v>
      </c>
    </row>
    <row r="114" spans="1:9" ht="15.75" thickBot="1">
      <c r="A114" s="4"/>
      <c r="B114" s="4"/>
      <c r="C114" s="4"/>
      <c r="D114" s="4"/>
      <c r="E114" s="4"/>
      <c r="F114" s="4" t="s">
        <v>194</v>
      </c>
      <c r="G114" s="9">
        <v>870</v>
      </c>
      <c r="H114" s="6"/>
      <c r="I114" s="9">
        <v>972.26</v>
      </c>
    </row>
    <row r="115" spans="1:9">
      <c r="A115" s="4"/>
      <c r="B115" s="4"/>
      <c r="C115" s="4"/>
      <c r="D115" s="4"/>
      <c r="E115" s="4" t="s">
        <v>195</v>
      </c>
      <c r="F115" s="4"/>
      <c r="G115" s="7">
        <f>ROUND(SUM(G112:G114),5)</f>
        <v>9071</v>
      </c>
      <c r="H115" s="6"/>
      <c r="I115" s="7">
        <f>ROUND(SUM(I112:I114),5)</f>
        <v>23907.33</v>
      </c>
    </row>
    <row r="116" spans="1:9">
      <c r="A116" s="4"/>
      <c r="B116" s="4"/>
      <c r="C116" s="4"/>
      <c r="D116" s="4"/>
      <c r="E116" s="4" t="s">
        <v>196</v>
      </c>
      <c r="F116" s="4"/>
      <c r="G116" s="7"/>
      <c r="H116" s="6"/>
      <c r="I116" s="7"/>
    </row>
    <row r="117" spans="1:9">
      <c r="A117" s="4"/>
      <c r="B117" s="4"/>
      <c r="C117" s="4"/>
      <c r="D117" s="4"/>
      <c r="E117" s="4"/>
      <c r="F117" s="4" t="s">
        <v>197</v>
      </c>
      <c r="G117" s="7">
        <v>0</v>
      </c>
      <c r="H117" s="6"/>
      <c r="I117" s="7">
        <v>-492</v>
      </c>
    </row>
    <row r="118" spans="1:9">
      <c r="A118" s="4"/>
      <c r="B118" s="4"/>
      <c r="C118" s="4"/>
      <c r="D118" s="4"/>
      <c r="E118" s="4"/>
      <c r="F118" s="4" t="s">
        <v>198</v>
      </c>
      <c r="G118" s="7">
        <v>14560.61</v>
      </c>
      <c r="H118" s="6"/>
      <c r="I118" s="7">
        <v>29060.63</v>
      </c>
    </row>
    <row r="119" spans="1:9">
      <c r="A119" s="4"/>
      <c r="B119" s="4"/>
      <c r="C119" s="4"/>
      <c r="D119" s="4"/>
      <c r="E119" s="4"/>
      <c r="F119" s="4" t="s">
        <v>199</v>
      </c>
      <c r="G119" s="7">
        <v>1125.01</v>
      </c>
      <c r="H119" s="6"/>
      <c r="I119" s="7">
        <v>2214.2199999999998</v>
      </c>
    </row>
    <row r="120" spans="1:9">
      <c r="A120" s="4"/>
      <c r="B120" s="4"/>
      <c r="C120" s="4"/>
      <c r="D120" s="4"/>
      <c r="E120" s="4"/>
      <c r="F120" s="4" t="s">
        <v>200</v>
      </c>
      <c r="G120" s="7">
        <v>1184.31</v>
      </c>
      <c r="H120" s="6"/>
      <c r="I120" s="7">
        <v>4737.24</v>
      </c>
    </row>
    <row r="121" spans="1:9">
      <c r="A121" s="4"/>
      <c r="B121" s="4"/>
      <c r="C121" s="4"/>
      <c r="D121" s="4"/>
      <c r="E121" s="4"/>
      <c r="F121" s="4" t="s">
        <v>201</v>
      </c>
      <c r="G121" s="7">
        <v>-262.11</v>
      </c>
      <c r="H121" s="6"/>
      <c r="I121" s="7">
        <v>-524.22</v>
      </c>
    </row>
    <row r="122" spans="1:9">
      <c r="A122" s="4"/>
      <c r="B122" s="4"/>
      <c r="C122" s="4"/>
      <c r="D122" s="4"/>
      <c r="E122" s="4"/>
      <c r="F122" s="4" t="s">
        <v>202</v>
      </c>
      <c r="G122" s="7">
        <v>991.29</v>
      </c>
      <c r="H122" s="6"/>
      <c r="I122" s="7">
        <v>-4672.95</v>
      </c>
    </row>
    <row r="123" spans="1:9">
      <c r="A123" s="4"/>
      <c r="B123" s="4"/>
      <c r="C123" s="4"/>
      <c r="D123" s="4"/>
      <c r="E123" s="4"/>
      <c r="F123" s="4" t="s">
        <v>203</v>
      </c>
      <c r="G123" s="7">
        <v>13250.05</v>
      </c>
      <c r="H123" s="6"/>
      <c r="I123" s="7">
        <v>82907.350000000006</v>
      </c>
    </row>
    <row r="124" spans="1:9">
      <c r="A124" s="4"/>
      <c r="B124" s="4"/>
      <c r="C124" s="4"/>
      <c r="D124" s="4"/>
      <c r="E124" s="4"/>
      <c r="F124" s="4" t="s">
        <v>204</v>
      </c>
      <c r="G124" s="7">
        <v>792.66</v>
      </c>
      <c r="H124" s="6"/>
      <c r="I124" s="7">
        <v>2993.48</v>
      </c>
    </row>
    <row r="125" spans="1:9">
      <c r="A125" s="4"/>
      <c r="B125" s="4"/>
      <c r="C125" s="4"/>
      <c r="D125" s="4"/>
      <c r="E125" s="4"/>
      <c r="F125" s="4" t="s">
        <v>205</v>
      </c>
      <c r="G125" s="7">
        <v>0</v>
      </c>
      <c r="H125" s="6"/>
      <c r="I125" s="7">
        <v>14570.85</v>
      </c>
    </row>
    <row r="126" spans="1:9">
      <c r="A126" s="4"/>
      <c r="B126" s="4"/>
      <c r="C126" s="4"/>
      <c r="D126" s="4"/>
      <c r="E126" s="4"/>
      <c r="F126" s="4" t="s">
        <v>206</v>
      </c>
      <c r="G126" s="7">
        <v>0</v>
      </c>
      <c r="H126" s="6"/>
      <c r="I126" s="7">
        <v>440</v>
      </c>
    </row>
    <row r="127" spans="1:9">
      <c r="A127" s="4"/>
      <c r="B127" s="4"/>
      <c r="C127" s="4"/>
      <c r="D127" s="4"/>
      <c r="E127" s="4"/>
      <c r="F127" s="4" t="s">
        <v>207</v>
      </c>
      <c r="G127" s="7">
        <v>992.27</v>
      </c>
      <c r="H127" s="6"/>
      <c r="I127" s="7">
        <v>4574.6400000000003</v>
      </c>
    </row>
    <row r="128" spans="1:9">
      <c r="A128" s="4"/>
      <c r="B128" s="4"/>
      <c r="C128" s="4"/>
      <c r="D128" s="4"/>
      <c r="E128" s="4"/>
      <c r="F128" s="4" t="s">
        <v>208</v>
      </c>
      <c r="G128" s="7">
        <v>2398.38</v>
      </c>
      <c r="H128" s="6"/>
      <c r="I128" s="7">
        <v>14955.09</v>
      </c>
    </row>
    <row r="129" spans="1:9">
      <c r="A129" s="4"/>
      <c r="B129" s="4"/>
      <c r="C129" s="4"/>
      <c r="D129" s="4"/>
      <c r="E129" s="4"/>
      <c r="F129" s="4" t="s">
        <v>209</v>
      </c>
      <c r="G129" s="7">
        <v>146.99</v>
      </c>
      <c r="H129" s="6"/>
      <c r="I129" s="7">
        <v>4627.95</v>
      </c>
    </row>
    <row r="130" spans="1:9" ht="15.75" thickBot="1">
      <c r="A130" s="4"/>
      <c r="B130" s="4"/>
      <c r="C130" s="4"/>
      <c r="D130" s="4"/>
      <c r="E130" s="4"/>
      <c r="F130" s="4" t="s">
        <v>210</v>
      </c>
      <c r="G130" s="9">
        <v>3024.74</v>
      </c>
      <c r="H130" s="6"/>
      <c r="I130" s="9">
        <v>11132.71</v>
      </c>
    </row>
    <row r="131" spans="1:9">
      <c r="A131" s="4"/>
      <c r="B131" s="4"/>
      <c r="C131" s="4"/>
      <c r="D131" s="4"/>
      <c r="E131" s="4" t="s">
        <v>211</v>
      </c>
      <c r="F131" s="4"/>
      <c r="G131" s="7">
        <f>ROUND(SUM(G116:G130),5)</f>
        <v>38204.199999999997</v>
      </c>
      <c r="H131" s="6"/>
      <c r="I131" s="7">
        <f>ROUND(SUM(I116:I130),5)</f>
        <v>166524.99</v>
      </c>
    </row>
    <row r="132" spans="1:9">
      <c r="A132" s="4"/>
      <c r="B132" s="4"/>
      <c r="C132" s="4"/>
      <c r="D132" s="4"/>
      <c r="E132" s="4" t="s">
        <v>212</v>
      </c>
      <c r="F132" s="4"/>
      <c r="G132" s="7"/>
      <c r="H132" s="6"/>
      <c r="I132" s="7"/>
    </row>
    <row r="133" spans="1:9">
      <c r="A133" s="4"/>
      <c r="B133" s="4"/>
      <c r="C133" s="4"/>
      <c r="D133" s="4"/>
      <c r="E133" s="4"/>
      <c r="F133" s="4" t="s">
        <v>213</v>
      </c>
      <c r="G133" s="7">
        <v>51822.38</v>
      </c>
      <c r="H133" s="6"/>
      <c r="I133" s="7">
        <v>154130.79</v>
      </c>
    </row>
    <row r="134" spans="1:9">
      <c r="A134" s="4"/>
      <c r="B134" s="4"/>
      <c r="C134" s="4"/>
      <c r="D134" s="4"/>
      <c r="E134" s="4"/>
      <c r="F134" s="4" t="s">
        <v>214</v>
      </c>
      <c r="G134" s="7">
        <v>0</v>
      </c>
      <c r="H134" s="6"/>
      <c r="I134" s="7">
        <v>4839</v>
      </c>
    </row>
    <row r="135" spans="1:9">
      <c r="A135" s="4"/>
      <c r="B135" s="4"/>
      <c r="C135" s="4"/>
      <c r="D135" s="4"/>
      <c r="E135" s="4"/>
      <c r="F135" s="4" t="s">
        <v>215</v>
      </c>
      <c r="G135" s="7">
        <v>0</v>
      </c>
      <c r="H135" s="6"/>
      <c r="I135" s="7">
        <v>2142.34</v>
      </c>
    </row>
    <row r="136" spans="1:9">
      <c r="A136" s="4"/>
      <c r="B136" s="4"/>
      <c r="C136" s="4"/>
      <c r="D136" s="4"/>
      <c r="E136" s="4"/>
      <c r="F136" s="4" t="s">
        <v>216</v>
      </c>
      <c r="G136" s="7">
        <v>3841.51</v>
      </c>
      <c r="H136" s="6"/>
      <c r="I136" s="7">
        <v>9703.19</v>
      </c>
    </row>
    <row r="137" spans="1:9">
      <c r="A137" s="4"/>
      <c r="B137" s="4"/>
      <c r="C137" s="4"/>
      <c r="D137" s="4"/>
      <c r="E137" s="4"/>
      <c r="F137" s="4" t="s">
        <v>217</v>
      </c>
      <c r="G137" s="7">
        <v>1581.66</v>
      </c>
      <c r="H137" s="6"/>
      <c r="I137" s="7">
        <v>7839.21</v>
      </c>
    </row>
    <row r="138" spans="1:9" ht="15.75" thickBot="1">
      <c r="A138" s="4"/>
      <c r="B138" s="4"/>
      <c r="C138" s="4"/>
      <c r="D138" s="4"/>
      <c r="E138" s="4"/>
      <c r="F138" s="4" t="s">
        <v>218</v>
      </c>
      <c r="G138" s="9">
        <v>2518.98</v>
      </c>
      <c r="H138" s="6"/>
      <c r="I138" s="9">
        <v>5407.1</v>
      </c>
    </row>
    <row r="139" spans="1:9">
      <c r="A139" s="4"/>
      <c r="B139" s="4"/>
      <c r="C139" s="4"/>
      <c r="D139" s="4"/>
      <c r="E139" s="4" t="s">
        <v>219</v>
      </c>
      <c r="F139" s="4"/>
      <c r="G139" s="7">
        <f>ROUND(SUM(G132:G138),5)</f>
        <v>59764.53</v>
      </c>
      <c r="H139" s="6"/>
      <c r="I139" s="7">
        <f>ROUND(SUM(I132:I138),5)</f>
        <v>184061.63</v>
      </c>
    </row>
    <row r="140" spans="1:9">
      <c r="A140" s="4"/>
      <c r="B140" s="4"/>
      <c r="C140" s="4"/>
      <c r="D140" s="4"/>
      <c r="E140" s="4" t="s">
        <v>220</v>
      </c>
      <c r="F140" s="4"/>
      <c r="G140" s="7"/>
      <c r="H140" s="6"/>
      <c r="I140" s="7"/>
    </row>
    <row r="141" spans="1:9" ht="15.75" thickBot="1">
      <c r="A141" s="4"/>
      <c r="B141" s="4"/>
      <c r="C141" s="4"/>
      <c r="D141" s="4"/>
      <c r="E141" s="4"/>
      <c r="F141" s="4" t="s">
        <v>221</v>
      </c>
      <c r="G141" s="9">
        <v>10171.82</v>
      </c>
      <c r="H141" s="6"/>
      <c r="I141" s="9">
        <v>295866.17</v>
      </c>
    </row>
    <row r="142" spans="1:9">
      <c r="A142" s="4"/>
      <c r="B142" s="4"/>
      <c r="C142" s="4"/>
      <c r="D142" s="4"/>
      <c r="E142" s="4" t="s">
        <v>222</v>
      </c>
      <c r="F142" s="4"/>
      <c r="G142" s="7">
        <f>ROUND(SUM(G140:G141),5)</f>
        <v>10171.82</v>
      </c>
      <c r="H142" s="6"/>
      <c r="I142" s="7">
        <f>ROUND(SUM(I140:I141),5)</f>
        <v>295866.17</v>
      </c>
    </row>
    <row r="143" spans="1:9">
      <c r="A143" s="4"/>
      <c r="B143" s="4"/>
      <c r="C143" s="4"/>
      <c r="D143" s="4"/>
      <c r="E143" s="4" t="s">
        <v>223</v>
      </c>
      <c r="F143" s="4"/>
      <c r="G143" s="7"/>
      <c r="H143" s="6"/>
      <c r="I143" s="7"/>
    </row>
    <row r="144" spans="1:9" ht="15.75" thickBot="1">
      <c r="A144" s="4"/>
      <c r="B144" s="4"/>
      <c r="C144" s="4"/>
      <c r="D144" s="4"/>
      <c r="E144" s="4"/>
      <c r="F144" s="4" t="s">
        <v>224</v>
      </c>
      <c r="G144" s="9">
        <v>11530.54</v>
      </c>
      <c r="H144" s="6"/>
      <c r="I144" s="9">
        <v>44673.22</v>
      </c>
    </row>
    <row r="145" spans="1:9">
      <c r="A145" s="4"/>
      <c r="B145" s="4"/>
      <c r="C145" s="4"/>
      <c r="D145" s="4"/>
      <c r="E145" s="4" t="s">
        <v>225</v>
      </c>
      <c r="F145" s="4"/>
      <c r="G145" s="7">
        <f>ROUND(SUM(G143:G144),5)</f>
        <v>11530.54</v>
      </c>
      <c r="H145" s="6"/>
      <c r="I145" s="7">
        <f>ROUND(SUM(I143:I144),5)</f>
        <v>44673.22</v>
      </c>
    </row>
    <row r="146" spans="1:9">
      <c r="A146" s="4"/>
      <c r="B146" s="4"/>
      <c r="C146" s="4"/>
      <c r="D146" s="4"/>
      <c r="E146" s="4" t="s">
        <v>226</v>
      </c>
      <c r="F146" s="4"/>
      <c r="G146" s="7"/>
      <c r="H146" s="6"/>
      <c r="I146" s="7"/>
    </row>
    <row r="147" spans="1:9">
      <c r="A147" s="4"/>
      <c r="B147" s="4"/>
      <c r="C147" s="4"/>
      <c r="D147" s="4"/>
      <c r="E147" s="4"/>
      <c r="F147" s="4" t="s">
        <v>227</v>
      </c>
      <c r="G147" s="7">
        <v>20735</v>
      </c>
      <c r="H147" s="6"/>
      <c r="I147" s="7">
        <v>116762.07</v>
      </c>
    </row>
    <row r="148" spans="1:9" ht="15.75" thickBot="1">
      <c r="A148" s="4"/>
      <c r="B148" s="4"/>
      <c r="C148" s="4"/>
      <c r="D148" s="4"/>
      <c r="E148" s="4"/>
      <c r="F148" s="4" t="s">
        <v>228</v>
      </c>
      <c r="G148" s="9">
        <v>0</v>
      </c>
      <c r="H148" s="6"/>
      <c r="I148" s="9">
        <v>700</v>
      </c>
    </row>
    <row r="149" spans="1:9">
      <c r="A149" s="4"/>
      <c r="B149" s="4"/>
      <c r="C149" s="4"/>
      <c r="D149" s="4"/>
      <c r="E149" s="4" t="s">
        <v>229</v>
      </c>
      <c r="F149" s="4"/>
      <c r="G149" s="7">
        <f>ROUND(SUM(G146:G148),5)</f>
        <v>20735</v>
      </c>
      <c r="H149" s="6"/>
      <c r="I149" s="7">
        <f>ROUND(SUM(I146:I148),5)</f>
        <v>117462.07</v>
      </c>
    </row>
    <row r="150" spans="1:9">
      <c r="A150" s="4"/>
      <c r="B150" s="4"/>
      <c r="C150" s="4"/>
      <c r="D150" s="4"/>
      <c r="E150" s="4" t="s">
        <v>230</v>
      </c>
      <c r="F150" s="4"/>
      <c r="G150" s="7"/>
      <c r="H150" s="6"/>
      <c r="I150" s="7"/>
    </row>
    <row r="151" spans="1:9" ht="15.75" thickBot="1">
      <c r="A151" s="4"/>
      <c r="B151" s="4"/>
      <c r="C151" s="4"/>
      <c r="D151" s="4"/>
      <c r="E151" s="4"/>
      <c r="F151" s="4" t="s">
        <v>231</v>
      </c>
      <c r="G151" s="9">
        <v>0</v>
      </c>
      <c r="H151" s="6"/>
      <c r="I151" s="9">
        <v>0</v>
      </c>
    </row>
    <row r="152" spans="1:9">
      <c r="A152" s="4"/>
      <c r="B152" s="4"/>
      <c r="C152" s="4"/>
      <c r="D152" s="4"/>
      <c r="E152" s="4" t="s">
        <v>232</v>
      </c>
      <c r="F152" s="4"/>
      <c r="G152" s="7">
        <f>ROUND(SUM(G150:G151),5)</f>
        <v>0</v>
      </c>
      <c r="H152" s="6"/>
      <c r="I152" s="7">
        <f>ROUND(SUM(I150:I151),5)</f>
        <v>0</v>
      </c>
    </row>
    <row r="153" spans="1:9">
      <c r="A153" s="4"/>
      <c r="B153" s="4"/>
      <c r="C153" s="4"/>
      <c r="D153" s="4"/>
      <c r="E153" s="4" t="s">
        <v>233</v>
      </c>
      <c r="F153" s="4"/>
      <c r="G153" s="7"/>
      <c r="H153" s="6"/>
      <c r="I153" s="7"/>
    </row>
    <row r="154" spans="1:9" ht="15.75" thickBot="1">
      <c r="A154" s="4"/>
      <c r="B154" s="4"/>
      <c r="C154" s="4"/>
      <c r="D154" s="4"/>
      <c r="E154" s="4"/>
      <c r="F154" s="4" t="s">
        <v>234</v>
      </c>
      <c r="G154" s="9">
        <v>511.24</v>
      </c>
      <c r="H154" s="6"/>
      <c r="I154" s="9">
        <v>761.79</v>
      </c>
    </row>
    <row r="155" spans="1:9">
      <c r="A155" s="4"/>
      <c r="B155" s="4"/>
      <c r="C155" s="4"/>
      <c r="D155" s="4"/>
      <c r="E155" s="4" t="s">
        <v>235</v>
      </c>
      <c r="F155" s="4"/>
      <c r="G155" s="7">
        <f>ROUND(SUM(G153:G154),5)</f>
        <v>511.24</v>
      </c>
      <c r="H155" s="6"/>
      <c r="I155" s="7">
        <f>ROUND(SUM(I153:I154),5)</f>
        <v>761.79</v>
      </c>
    </row>
    <row r="156" spans="1:9">
      <c r="A156" s="4"/>
      <c r="B156" s="4"/>
      <c r="C156" s="4"/>
      <c r="D156" s="4"/>
      <c r="E156" s="4" t="s">
        <v>236</v>
      </c>
      <c r="F156" s="4"/>
      <c r="G156" s="7"/>
      <c r="H156" s="6"/>
      <c r="I156" s="7"/>
    </row>
    <row r="157" spans="1:9">
      <c r="A157" s="4"/>
      <c r="B157" s="4"/>
      <c r="C157" s="4"/>
      <c r="D157" s="4"/>
      <c r="E157" s="4"/>
      <c r="F157" s="4" t="s">
        <v>237</v>
      </c>
      <c r="G157" s="7">
        <v>6000.01</v>
      </c>
      <c r="H157" s="6"/>
      <c r="I157" s="7">
        <v>16025</v>
      </c>
    </row>
    <row r="158" spans="1:9">
      <c r="A158" s="4"/>
      <c r="B158" s="4"/>
      <c r="C158" s="4"/>
      <c r="D158" s="4"/>
      <c r="E158" s="4"/>
      <c r="F158" s="4" t="s">
        <v>238</v>
      </c>
      <c r="G158" s="7">
        <v>0</v>
      </c>
      <c r="H158" s="6"/>
      <c r="I158" s="7">
        <v>178.1</v>
      </c>
    </row>
    <row r="159" spans="1:9">
      <c r="A159" s="4"/>
      <c r="B159" s="4"/>
      <c r="C159" s="4"/>
      <c r="D159" s="4"/>
      <c r="E159" s="4"/>
      <c r="F159" s="4" t="s">
        <v>239</v>
      </c>
      <c r="G159" s="7">
        <v>750</v>
      </c>
      <c r="H159" s="6"/>
      <c r="I159" s="7">
        <v>792.99</v>
      </c>
    </row>
    <row r="160" spans="1:9" ht="15.75" thickBot="1">
      <c r="A160" s="4"/>
      <c r="B160" s="4"/>
      <c r="C160" s="4"/>
      <c r="D160" s="4"/>
      <c r="E160" s="4"/>
      <c r="F160" s="4" t="s">
        <v>240</v>
      </c>
      <c r="G160" s="9">
        <v>195.6</v>
      </c>
      <c r="H160" s="6"/>
      <c r="I160" s="9">
        <v>511.54</v>
      </c>
    </row>
    <row r="161" spans="1:9">
      <c r="A161" s="4"/>
      <c r="B161" s="4"/>
      <c r="C161" s="4"/>
      <c r="D161" s="4"/>
      <c r="E161" s="4" t="s">
        <v>241</v>
      </c>
      <c r="F161" s="4"/>
      <c r="G161" s="7">
        <f>ROUND(SUM(G156:G160),5)</f>
        <v>6945.61</v>
      </c>
      <c r="H161" s="6"/>
      <c r="I161" s="7">
        <f>ROUND(SUM(I156:I160),5)</f>
        <v>17507.63</v>
      </c>
    </row>
    <row r="162" spans="1:9">
      <c r="A162" s="4"/>
      <c r="B162" s="4"/>
      <c r="C162" s="4"/>
      <c r="D162" s="4"/>
      <c r="E162" s="4" t="s">
        <v>242</v>
      </c>
      <c r="F162" s="4"/>
      <c r="G162" s="7"/>
      <c r="H162" s="6"/>
      <c r="I162" s="7"/>
    </row>
    <row r="163" spans="1:9">
      <c r="A163" s="4"/>
      <c r="B163" s="4"/>
      <c r="C163" s="4"/>
      <c r="D163" s="4"/>
      <c r="E163" s="4"/>
      <c r="F163" s="4" t="s">
        <v>243</v>
      </c>
      <c r="G163" s="7">
        <v>9519.73</v>
      </c>
      <c r="H163" s="6"/>
      <c r="I163" s="7">
        <v>29146.42</v>
      </c>
    </row>
    <row r="164" spans="1:9">
      <c r="A164" s="4"/>
      <c r="B164" s="4"/>
      <c r="C164" s="4"/>
      <c r="D164" s="4"/>
      <c r="E164" s="4"/>
      <c r="F164" s="4" t="s">
        <v>244</v>
      </c>
      <c r="G164" s="7">
        <v>711.55</v>
      </c>
      <c r="H164" s="6"/>
      <c r="I164" s="7">
        <v>2179.5500000000002</v>
      </c>
    </row>
    <row r="165" spans="1:9">
      <c r="A165" s="4"/>
      <c r="B165" s="4"/>
      <c r="C165" s="4"/>
      <c r="D165" s="4"/>
      <c r="E165" s="4"/>
      <c r="F165" s="4" t="s">
        <v>245</v>
      </c>
      <c r="G165" s="7">
        <v>-218.42</v>
      </c>
      <c r="H165" s="6"/>
      <c r="I165" s="7">
        <v>-655.27</v>
      </c>
    </row>
    <row r="166" spans="1:9">
      <c r="A166" s="4"/>
      <c r="B166" s="4"/>
      <c r="C166" s="4"/>
      <c r="D166" s="4"/>
      <c r="E166" s="4"/>
      <c r="F166" s="4" t="s">
        <v>246</v>
      </c>
      <c r="G166" s="7">
        <v>12258.63</v>
      </c>
      <c r="H166" s="6"/>
      <c r="I166" s="7">
        <v>32088.62</v>
      </c>
    </row>
    <row r="167" spans="1:9">
      <c r="A167" s="4"/>
      <c r="B167" s="4"/>
      <c r="C167" s="4"/>
      <c r="D167" s="4"/>
      <c r="E167" s="4"/>
      <c r="F167" s="4" t="s">
        <v>247</v>
      </c>
      <c r="G167" s="7">
        <v>4775.76</v>
      </c>
      <c r="H167" s="6"/>
      <c r="I167" s="7">
        <v>3427.05</v>
      </c>
    </row>
    <row r="168" spans="1:9">
      <c r="A168" s="4"/>
      <c r="B168" s="4"/>
      <c r="C168" s="4"/>
      <c r="D168" s="4"/>
      <c r="E168" s="4"/>
      <c r="F168" s="4" t="s">
        <v>248</v>
      </c>
      <c r="G168" s="7">
        <v>4795.22</v>
      </c>
      <c r="H168" s="6"/>
      <c r="I168" s="7">
        <v>18431.23</v>
      </c>
    </row>
    <row r="169" spans="1:9">
      <c r="A169" s="4"/>
      <c r="B169" s="4"/>
      <c r="C169" s="4"/>
      <c r="D169" s="4"/>
      <c r="E169" s="4"/>
      <c r="F169" s="4" t="s">
        <v>249</v>
      </c>
      <c r="G169" s="7">
        <v>9000</v>
      </c>
      <c r="H169" s="6"/>
      <c r="I169" s="7">
        <v>64260</v>
      </c>
    </row>
    <row r="170" spans="1:9">
      <c r="A170" s="4"/>
      <c r="B170" s="4"/>
      <c r="C170" s="4"/>
      <c r="D170" s="4"/>
      <c r="E170" s="4"/>
      <c r="F170" s="4" t="s">
        <v>250</v>
      </c>
      <c r="G170" s="7">
        <v>0</v>
      </c>
      <c r="H170" s="6"/>
      <c r="I170" s="7">
        <v>4150</v>
      </c>
    </row>
    <row r="171" spans="1:9">
      <c r="A171" s="4"/>
      <c r="B171" s="4"/>
      <c r="C171" s="4"/>
      <c r="D171" s="4"/>
      <c r="E171" s="4"/>
      <c r="F171" s="4" t="s">
        <v>251</v>
      </c>
      <c r="G171" s="7">
        <v>5776.12</v>
      </c>
      <c r="H171" s="6"/>
      <c r="I171" s="7">
        <v>77074.19</v>
      </c>
    </row>
    <row r="172" spans="1:9">
      <c r="A172" s="4"/>
      <c r="B172" s="4"/>
      <c r="C172" s="4"/>
      <c r="D172" s="4"/>
      <c r="E172" s="4"/>
      <c r="F172" s="4" t="s">
        <v>252</v>
      </c>
      <c r="G172" s="7">
        <v>52559.85</v>
      </c>
      <c r="H172" s="6"/>
      <c r="I172" s="7">
        <v>210239.4</v>
      </c>
    </row>
    <row r="173" spans="1:9">
      <c r="A173" s="4"/>
      <c r="B173" s="4"/>
      <c r="C173" s="4"/>
      <c r="D173" s="4"/>
      <c r="E173" s="4"/>
      <c r="F173" s="4" t="s">
        <v>253</v>
      </c>
      <c r="G173" s="7">
        <v>0</v>
      </c>
      <c r="H173" s="6"/>
      <c r="I173" s="7">
        <v>489</v>
      </c>
    </row>
    <row r="174" spans="1:9">
      <c r="A174" s="4"/>
      <c r="B174" s="4"/>
      <c r="C174" s="4"/>
      <c r="D174" s="4"/>
      <c r="E174" s="4"/>
      <c r="F174" s="4" t="s">
        <v>254</v>
      </c>
      <c r="G174" s="7">
        <v>3400.17</v>
      </c>
      <c r="H174" s="6"/>
      <c r="I174" s="7">
        <v>12518.44</v>
      </c>
    </row>
    <row r="175" spans="1:9">
      <c r="A175" s="4"/>
      <c r="B175" s="4"/>
      <c r="C175" s="4"/>
      <c r="D175" s="4"/>
      <c r="E175" s="4"/>
      <c r="F175" s="4" t="s">
        <v>255</v>
      </c>
      <c r="G175" s="7">
        <v>13871.19</v>
      </c>
      <c r="H175" s="6"/>
      <c r="I175" s="7">
        <v>55896.79</v>
      </c>
    </row>
    <row r="176" spans="1:9" ht="15.75" thickBot="1">
      <c r="A176" s="4"/>
      <c r="B176" s="4"/>
      <c r="C176" s="4"/>
      <c r="D176" s="4"/>
      <c r="E176" s="4"/>
      <c r="F176" s="4" t="s">
        <v>256</v>
      </c>
      <c r="G176" s="9">
        <v>2878.7</v>
      </c>
      <c r="H176" s="6"/>
      <c r="I176" s="9">
        <v>15968.17</v>
      </c>
    </row>
    <row r="177" spans="1:9">
      <c r="A177" s="4"/>
      <c r="B177" s="4"/>
      <c r="C177" s="4"/>
      <c r="D177" s="4"/>
      <c r="E177" s="4" t="s">
        <v>257</v>
      </c>
      <c r="F177" s="4"/>
      <c r="G177" s="7">
        <f>ROUND(SUM(G162:G176),5)</f>
        <v>119328.5</v>
      </c>
      <c r="H177" s="6"/>
      <c r="I177" s="7">
        <f>ROUND(SUM(I162:I176),5)</f>
        <v>525213.59</v>
      </c>
    </row>
    <row r="178" spans="1:9">
      <c r="A178" s="4"/>
      <c r="B178" s="4"/>
      <c r="C178" s="4"/>
      <c r="D178" s="4"/>
      <c r="E178" s="4" t="s">
        <v>258</v>
      </c>
      <c r="F178" s="4"/>
      <c r="G178" s="7"/>
      <c r="H178" s="6"/>
      <c r="I178" s="7"/>
    </row>
    <row r="179" spans="1:9" ht="15.75" thickBot="1">
      <c r="A179" s="4"/>
      <c r="B179" s="4"/>
      <c r="C179" s="4"/>
      <c r="D179" s="4"/>
      <c r="E179" s="4"/>
      <c r="F179" s="4" t="s">
        <v>259</v>
      </c>
      <c r="G179" s="9">
        <v>2400</v>
      </c>
      <c r="H179" s="6"/>
      <c r="I179" s="9">
        <v>9990</v>
      </c>
    </row>
    <row r="180" spans="1:9">
      <c r="A180" s="4"/>
      <c r="B180" s="4"/>
      <c r="C180" s="4"/>
      <c r="D180" s="4"/>
      <c r="E180" s="4" t="s">
        <v>260</v>
      </c>
      <c r="F180" s="4"/>
      <c r="G180" s="7">
        <f>ROUND(SUM(G178:G179),5)</f>
        <v>2400</v>
      </c>
      <c r="H180" s="6"/>
      <c r="I180" s="7">
        <f>ROUND(SUM(I178:I179),5)</f>
        <v>9990</v>
      </c>
    </row>
    <row r="181" spans="1:9">
      <c r="A181" s="4"/>
      <c r="B181" s="4"/>
      <c r="C181" s="4"/>
      <c r="D181" s="4"/>
      <c r="E181" s="4" t="s">
        <v>261</v>
      </c>
      <c r="F181" s="4"/>
      <c r="G181" s="7"/>
      <c r="H181" s="6"/>
      <c r="I181" s="7"/>
    </row>
    <row r="182" spans="1:9">
      <c r="A182" s="4"/>
      <c r="B182" s="4"/>
      <c r="C182" s="4"/>
      <c r="D182" s="4"/>
      <c r="E182" s="4"/>
      <c r="F182" s="4" t="s">
        <v>262</v>
      </c>
      <c r="G182" s="7">
        <v>292.5</v>
      </c>
      <c r="H182" s="6"/>
      <c r="I182" s="7">
        <v>527.5</v>
      </c>
    </row>
    <row r="183" spans="1:9" ht="15.75" thickBot="1">
      <c r="A183" s="4"/>
      <c r="B183" s="4"/>
      <c r="C183" s="4"/>
      <c r="D183" s="4"/>
      <c r="E183" s="4"/>
      <c r="F183" s="4" t="s">
        <v>263</v>
      </c>
      <c r="G183" s="9">
        <v>0</v>
      </c>
      <c r="H183" s="6"/>
      <c r="I183" s="9">
        <v>147</v>
      </c>
    </row>
    <row r="184" spans="1:9">
      <c r="A184" s="4"/>
      <c r="B184" s="4"/>
      <c r="C184" s="4"/>
      <c r="D184" s="4"/>
      <c r="E184" s="4" t="s">
        <v>264</v>
      </c>
      <c r="F184" s="4"/>
      <c r="G184" s="7">
        <f>ROUND(SUM(G181:G183),5)</f>
        <v>292.5</v>
      </c>
      <c r="H184" s="6"/>
      <c r="I184" s="7">
        <f>ROUND(SUM(I181:I183),5)</f>
        <v>674.5</v>
      </c>
    </row>
    <row r="185" spans="1:9">
      <c r="A185" s="4"/>
      <c r="B185" s="4"/>
      <c r="C185" s="4"/>
      <c r="D185" s="4"/>
      <c r="E185" s="4" t="s">
        <v>265</v>
      </c>
      <c r="F185" s="4"/>
      <c r="G185" s="7"/>
      <c r="H185" s="6"/>
      <c r="I185" s="7"/>
    </row>
    <row r="186" spans="1:9" ht="15.75" thickBot="1">
      <c r="A186" s="4"/>
      <c r="B186" s="4"/>
      <c r="C186" s="4"/>
      <c r="D186" s="4"/>
      <c r="E186" s="4"/>
      <c r="F186" s="4" t="s">
        <v>266</v>
      </c>
      <c r="G186" s="9">
        <v>21248.99</v>
      </c>
      <c r="H186" s="6"/>
      <c r="I186" s="9">
        <v>66510.97</v>
      </c>
    </row>
    <row r="187" spans="1:9">
      <c r="A187" s="4"/>
      <c r="B187" s="4"/>
      <c r="C187" s="4"/>
      <c r="D187" s="4"/>
      <c r="E187" s="4" t="s">
        <v>267</v>
      </c>
      <c r="F187" s="4"/>
      <c r="G187" s="7">
        <f>ROUND(SUM(G185:G186),5)</f>
        <v>21248.99</v>
      </c>
      <c r="H187" s="6"/>
      <c r="I187" s="7">
        <f>ROUND(SUM(I185:I186),5)</f>
        <v>66510.97</v>
      </c>
    </row>
    <row r="188" spans="1:9">
      <c r="A188" s="4"/>
      <c r="B188" s="4"/>
      <c r="C188" s="4"/>
      <c r="D188" s="4"/>
      <c r="E188" s="4" t="s">
        <v>268</v>
      </c>
      <c r="F188" s="4"/>
      <c r="G188" s="7"/>
      <c r="H188" s="6"/>
      <c r="I188" s="7"/>
    </row>
    <row r="189" spans="1:9">
      <c r="A189" s="4"/>
      <c r="B189" s="4"/>
      <c r="C189" s="4"/>
      <c r="D189" s="4"/>
      <c r="E189" s="4"/>
      <c r="F189" s="4" t="s">
        <v>269</v>
      </c>
      <c r="G189" s="7">
        <v>0</v>
      </c>
      <c r="H189" s="6"/>
      <c r="I189" s="7">
        <v>15905</v>
      </c>
    </row>
    <row r="190" spans="1:9">
      <c r="A190" s="4"/>
      <c r="B190" s="4"/>
      <c r="C190" s="4"/>
      <c r="D190" s="4"/>
      <c r="E190" s="4"/>
      <c r="F190" s="4" t="s">
        <v>270</v>
      </c>
      <c r="G190" s="7">
        <v>0</v>
      </c>
      <c r="H190" s="6"/>
      <c r="I190" s="7">
        <v>1216.74</v>
      </c>
    </row>
    <row r="191" spans="1:9">
      <c r="A191" s="4"/>
      <c r="B191" s="4"/>
      <c r="C191" s="4"/>
      <c r="D191" s="4"/>
      <c r="E191" s="4"/>
      <c r="F191" s="4" t="s">
        <v>271</v>
      </c>
      <c r="G191" s="7">
        <v>0</v>
      </c>
      <c r="H191" s="6"/>
      <c r="I191" s="7">
        <v>54.75</v>
      </c>
    </row>
    <row r="192" spans="1:9">
      <c r="A192" s="4"/>
      <c r="B192" s="4"/>
      <c r="C192" s="4"/>
      <c r="D192" s="4"/>
      <c r="E192" s="4"/>
      <c r="F192" s="4" t="s">
        <v>272</v>
      </c>
      <c r="G192" s="7">
        <v>0</v>
      </c>
      <c r="H192" s="6"/>
      <c r="I192" s="7">
        <v>1600</v>
      </c>
    </row>
    <row r="193" spans="1:9" ht="15.75" thickBot="1">
      <c r="A193" s="4"/>
      <c r="B193" s="4"/>
      <c r="C193" s="4"/>
      <c r="D193" s="4"/>
      <c r="E193" s="4"/>
      <c r="F193" s="4" t="s">
        <v>273</v>
      </c>
      <c r="G193" s="9">
        <v>18.27</v>
      </c>
      <c r="H193" s="6"/>
      <c r="I193" s="9">
        <v>18.27</v>
      </c>
    </row>
    <row r="194" spans="1:9">
      <c r="A194" s="4"/>
      <c r="B194" s="4"/>
      <c r="C194" s="4"/>
      <c r="D194" s="4"/>
      <c r="E194" s="4" t="s">
        <v>274</v>
      </c>
      <c r="F194" s="4"/>
      <c r="G194" s="7">
        <f>ROUND(SUM(G188:G193),5)</f>
        <v>18.27</v>
      </c>
      <c r="H194" s="6"/>
      <c r="I194" s="7">
        <f>ROUND(SUM(I188:I193),5)</f>
        <v>18794.759999999998</v>
      </c>
    </row>
    <row r="195" spans="1:9">
      <c r="A195" s="4"/>
      <c r="B195" s="4"/>
      <c r="C195" s="4"/>
      <c r="D195" s="4"/>
      <c r="E195" s="4" t="s">
        <v>275</v>
      </c>
      <c r="F195" s="4"/>
      <c r="G195" s="7"/>
      <c r="H195" s="6"/>
      <c r="I195" s="7"/>
    </row>
    <row r="196" spans="1:9" ht="15.75" thickBot="1">
      <c r="A196" s="4"/>
      <c r="B196" s="4"/>
      <c r="C196" s="4"/>
      <c r="D196" s="4"/>
      <c r="E196" s="4"/>
      <c r="F196" s="4" t="s">
        <v>276</v>
      </c>
      <c r="G196" s="9">
        <v>8776.48</v>
      </c>
      <c r="H196" s="6"/>
      <c r="I196" s="9">
        <v>78049.25</v>
      </c>
    </row>
    <row r="197" spans="1:9">
      <c r="A197" s="4"/>
      <c r="B197" s="4"/>
      <c r="C197" s="4"/>
      <c r="D197" s="4"/>
      <c r="E197" s="4" t="s">
        <v>277</v>
      </c>
      <c r="F197" s="4"/>
      <c r="G197" s="7">
        <f>ROUND(SUM(G195:G196),5)</f>
        <v>8776.48</v>
      </c>
      <c r="H197" s="6"/>
      <c r="I197" s="7">
        <f>ROUND(SUM(I195:I196),5)</f>
        <v>78049.25</v>
      </c>
    </row>
    <row r="198" spans="1:9">
      <c r="A198" s="4"/>
      <c r="B198" s="4"/>
      <c r="C198" s="4"/>
      <c r="D198" s="4"/>
      <c r="E198" s="4" t="s">
        <v>278</v>
      </c>
      <c r="F198" s="4"/>
      <c r="G198" s="7"/>
      <c r="H198" s="6"/>
      <c r="I198" s="7"/>
    </row>
    <row r="199" spans="1:9">
      <c r="A199" s="4"/>
      <c r="B199" s="4"/>
      <c r="C199" s="4"/>
      <c r="D199" s="4"/>
      <c r="E199" s="4"/>
      <c r="F199" s="4" t="s">
        <v>279</v>
      </c>
      <c r="G199" s="7">
        <v>16900</v>
      </c>
      <c r="H199" s="6"/>
      <c r="I199" s="7">
        <v>105583.78</v>
      </c>
    </row>
    <row r="200" spans="1:9">
      <c r="A200" s="4"/>
      <c r="B200" s="4"/>
      <c r="C200" s="4"/>
      <c r="D200" s="4"/>
      <c r="E200" s="4"/>
      <c r="F200" s="4" t="s">
        <v>280</v>
      </c>
      <c r="G200" s="7">
        <v>0</v>
      </c>
      <c r="H200" s="6"/>
      <c r="I200" s="7">
        <v>9050</v>
      </c>
    </row>
    <row r="201" spans="1:9">
      <c r="A201" s="4"/>
      <c r="B201" s="4"/>
      <c r="C201" s="4"/>
      <c r="D201" s="4"/>
      <c r="E201" s="4"/>
      <c r="F201" s="4" t="s">
        <v>281</v>
      </c>
      <c r="G201" s="7">
        <v>1272.31</v>
      </c>
      <c r="H201" s="6"/>
      <c r="I201" s="7">
        <v>8750.5400000000009</v>
      </c>
    </row>
    <row r="202" spans="1:9">
      <c r="A202" s="4"/>
      <c r="B202" s="4"/>
      <c r="C202" s="4"/>
      <c r="D202" s="4"/>
      <c r="E202" s="4"/>
      <c r="F202" s="4" t="s">
        <v>282</v>
      </c>
      <c r="G202" s="7">
        <v>1244.3699999999999</v>
      </c>
      <c r="H202" s="6"/>
      <c r="I202" s="7">
        <v>4950.38</v>
      </c>
    </row>
    <row r="203" spans="1:9">
      <c r="A203" s="4"/>
      <c r="B203" s="4"/>
      <c r="C203" s="4"/>
      <c r="D203" s="4"/>
      <c r="E203" s="4"/>
      <c r="F203" s="4" t="s">
        <v>283</v>
      </c>
      <c r="G203" s="7">
        <v>0</v>
      </c>
      <c r="H203" s="6"/>
      <c r="I203" s="7">
        <v>-1697.85</v>
      </c>
    </row>
    <row r="204" spans="1:9">
      <c r="A204" s="4"/>
      <c r="B204" s="4"/>
      <c r="C204" s="4"/>
      <c r="D204" s="4"/>
      <c r="E204" s="4"/>
      <c r="F204" s="4" t="s">
        <v>284</v>
      </c>
      <c r="G204" s="7">
        <v>97019.86</v>
      </c>
      <c r="H204" s="6"/>
      <c r="I204" s="7">
        <v>120244.04</v>
      </c>
    </row>
    <row r="205" spans="1:9">
      <c r="A205" s="4"/>
      <c r="B205" s="4"/>
      <c r="C205" s="4"/>
      <c r="D205" s="4"/>
      <c r="E205" s="4"/>
      <c r="F205" s="4" t="s">
        <v>285</v>
      </c>
      <c r="G205" s="7">
        <v>7744.5</v>
      </c>
      <c r="H205" s="6"/>
      <c r="I205" s="7">
        <v>34094.15</v>
      </c>
    </row>
    <row r="206" spans="1:9">
      <c r="A206" s="4"/>
      <c r="B206" s="4"/>
      <c r="C206" s="4"/>
      <c r="D206" s="4"/>
      <c r="E206" s="4"/>
      <c r="F206" s="4" t="s">
        <v>286</v>
      </c>
      <c r="G206" s="7">
        <v>0</v>
      </c>
      <c r="H206" s="6"/>
      <c r="I206" s="7">
        <v>175</v>
      </c>
    </row>
    <row r="207" spans="1:9" ht="15.75" thickBot="1">
      <c r="A207" s="4"/>
      <c r="B207" s="4"/>
      <c r="C207" s="4"/>
      <c r="D207" s="4"/>
      <c r="E207" s="4"/>
      <c r="F207" s="4" t="s">
        <v>287</v>
      </c>
      <c r="G207" s="9">
        <v>119.39</v>
      </c>
      <c r="H207" s="6"/>
      <c r="I207" s="9">
        <v>139.38999999999999</v>
      </c>
    </row>
    <row r="208" spans="1:9">
      <c r="A208" s="4"/>
      <c r="B208" s="4"/>
      <c r="C208" s="4"/>
      <c r="D208" s="4"/>
      <c r="E208" s="4" t="s">
        <v>288</v>
      </c>
      <c r="F208" s="4"/>
      <c r="G208" s="7">
        <f>ROUND(SUM(G198:G207),5)</f>
        <v>124300.43</v>
      </c>
      <c r="H208" s="6"/>
      <c r="I208" s="7">
        <f>ROUND(SUM(I198:I207),5)</f>
        <v>281289.43</v>
      </c>
    </row>
    <row r="209" spans="1:9">
      <c r="A209" s="4"/>
      <c r="B209" s="4"/>
      <c r="C209" s="4"/>
      <c r="D209" s="4"/>
      <c r="E209" s="4" t="s">
        <v>289</v>
      </c>
      <c r="F209" s="4"/>
      <c r="G209" s="7"/>
      <c r="H209" s="6"/>
      <c r="I209" s="7"/>
    </row>
    <row r="210" spans="1:9">
      <c r="A210" s="4"/>
      <c r="B210" s="4"/>
      <c r="C210" s="4"/>
      <c r="D210" s="4"/>
      <c r="E210" s="4"/>
      <c r="F210" s="4" t="s">
        <v>290</v>
      </c>
      <c r="G210" s="7">
        <v>6614.08</v>
      </c>
      <c r="H210" s="6"/>
      <c r="I210" s="7">
        <v>28336.2</v>
      </c>
    </row>
    <row r="211" spans="1:9">
      <c r="A211" s="4"/>
      <c r="B211" s="4"/>
      <c r="C211" s="4"/>
      <c r="D211" s="4"/>
      <c r="E211" s="4"/>
      <c r="F211" s="4" t="s">
        <v>291</v>
      </c>
      <c r="G211" s="7">
        <v>2000</v>
      </c>
      <c r="H211" s="6"/>
      <c r="I211" s="7">
        <v>2000</v>
      </c>
    </row>
    <row r="212" spans="1:9">
      <c r="A212" s="4"/>
      <c r="B212" s="4"/>
      <c r="C212" s="4"/>
      <c r="D212" s="4"/>
      <c r="E212" s="4"/>
      <c r="F212" s="4" t="s">
        <v>292</v>
      </c>
      <c r="G212" s="7">
        <v>0</v>
      </c>
      <c r="H212" s="6"/>
      <c r="I212" s="7">
        <v>1100</v>
      </c>
    </row>
    <row r="213" spans="1:9">
      <c r="A213" s="4"/>
      <c r="B213" s="4"/>
      <c r="C213" s="4"/>
      <c r="D213" s="4"/>
      <c r="E213" s="4"/>
      <c r="F213" s="4" t="s">
        <v>293</v>
      </c>
      <c r="G213" s="7">
        <v>656.47</v>
      </c>
      <c r="H213" s="6"/>
      <c r="I213" s="7">
        <v>2393.4499999999998</v>
      </c>
    </row>
    <row r="214" spans="1:9">
      <c r="A214" s="4"/>
      <c r="B214" s="4"/>
      <c r="C214" s="4"/>
      <c r="D214" s="4"/>
      <c r="E214" s="4"/>
      <c r="F214" s="4" t="s">
        <v>294</v>
      </c>
      <c r="G214" s="7">
        <v>38.67</v>
      </c>
      <c r="H214" s="6"/>
      <c r="I214" s="7">
        <v>147.26</v>
      </c>
    </row>
    <row r="215" spans="1:9">
      <c r="A215" s="4"/>
      <c r="B215" s="4"/>
      <c r="C215" s="4"/>
      <c r="D215" s="4"/>
      <c r="E215" s="4"/>
      <c r="F215" s="4" t="s">
        <v>295</v>
      </c>
      <c r="G215" s="7">
        <v>0</v>
      </c>
      <c r="H215" s="6"/>
      <c r="I215" s="7">
        <v>108.67</v>
      </c>
    </row>
    <row r="216" spans="1:9">
      <c r="A216" s="4"/>
      <c r="B216" s="4"/>
      <c r="C216" s="4"/>
      <c r="D216" s="4"/>
      <c r="E216" s="4"/>
      <c r="F216" s="4" t="s">
        <v>296</v>
      </c>
      <c r="G216" s="7">
        <v>1302</v>
      </c>
      <c r="H216" s="6"/>
      <c r="I216" s="7">
        <v>5071.3100000000004</v>
      </c>
    </row>
    <row r="217" spans="1:9" ht="15.75" thickBot="1">
      <c r="A217" s="4"/>
      <c r="B217" s="4"/>
      <c r="C217" s="4"/>
      <c r="D217" s="4"/>
      <c r="E217" s="4"/>
      <c r="F217" s="4" t="s">
        <v>297</v>
      </c>
      <c r="G217" s="9">
        <v>0</v>
      </c>
      <c r="H217" s="6"/>
      <c r="I217" s="9">
        <v>336.88</v>
      </c>
    </row>
    <row r="218" spans="1:9">
      <c r="A218" s="4"/>
      <c r="B218" s="4"/>
      <c r="C218" s="4"/>
      <c r="D218" s="4"/>
      <c r="E218" s="4" t="s">
        <v>298</v>
      </c>
      <c r="F218" s="4"/>
      <c r="G218" s="7">
        <f>ROUND(SUM(G209:G217),5)</f>
        <v>10611.22</v>
      </c>
      <c r="H218" s="6"/>
      <c r="I218" s="7">
        <f>ROUND(SUM(I209:I217),5)</f>
        <v>39493.769999999997</v>
      </c>
    </row>
    <row r="219" spans="1:9">
      <c r="A219" s="4"/>
      <c r="B219" s="4"/>
      <c r="C219" s="4"/>
      <c r="D219" s="4"/>
      <c r="E219" s="4" t="s">
        <v>299</v>
      </c>
      <c r="F219" s="4"/>
      <c r="G219" s="7"/>
      <c r="H219" s="6"/>
      <c r="I219" s="7"/>
    </row>
    <row r="220" spans="1:9" ht="15.75" thickBot="1">
      <c r="A220" s="4"/>
      <c r="B220" s="4"/>
      <c r="C220" s="4"/>
      <c r="D220" s="4"/>
      <c r="E220" s="4"/>
      <c r="F220" s="4" t="s">
        <v>300</v>
      </c>
      <c r="G220" s="9">
        <v>45386.28</v>
      </c>
      <c r="H220" s="6"/>
      <c r="I220" s="9">
        <v>205393.17</v>
      </c>
    </row>
    <row r="221" spans="1:9">
      <c r="A221" s="4"/>
      <c r="B221" s="4"/>
      <c r="C221" s="4"/>
      <c r="D221" s="4"/>
      <c r="E221" s="4" t="s">
        <v>301</v>
      </c>
      <c r="F221" s="4"/>
      <c r="G221" s="7">
        <f>ROUND(SUM(G219:G220),5)</f>
        <v>45386.28</v>
      </c>
      <c r="H221" s="6"/>
      <c r="I221" s="7">
        <f>ROUND(SUM(I219:I220),5)</f>
        <v>205393.17</v>
      </c>
    </row>
    <row r="222" spans="1:9">
      <c r="A222" s="4"/>
      <c r="B222" s="4"/>
      <c r="C222" s="4"/>
      <c r="D222" s="4"/>
      <c r="E222" s="4" t="s">
        <v>302</v>
      </c>
      <c r="F222" s="4"/>
      <c r="G222" s="7"/>
      <c r="H222" s="6"/>
      <c r="I222" s="7"/>
    </row>
    <row r="223" spans="1:9" ht="15.75" thickBot="1">
      <c r="A223" s="4"/>
      <c r="B223" s="4"/>
      <c r="C223" s="4"/>
      <c r="D223" s="4"/>
      <c r="E223" s="4"/>
      <c r="F223" s="4" t="s">
        <v>303</v>
      </c>
      <c r="G223" s="9">
        <v>2317.67</v>
      </c>
      <c r="H223" s="6"/>
      <c r="I223" s="9">
        <v>9578.6200000000008</v>
      </c>
    </row>
    <row r="224" spans="1:9">
      <c r="A224" s="4"/>
      <c r="B224" s="4"/>
      <c r="C224" s="4"/>
      <c r="D224" s="4"/>
      <c r="E224" s="4" t="s">
        <v>304</v>
      </c>
      <c r="F224" s="4"/>
      <c r="G224" s="7">
        <f>ROUND(SUM(G222:G223),5)</f>
        <v>2317.67</v>
      </c>
      <c r="H224" s="6"/>
      <c r="I224" s="7">
        <f>ROUND(SUM(I222:I223),5)</f>
        <v>9578.6200000000008</v>
      </c>
    </row>
    <row r="225" spans="1:9">
      <c r="A225" s="4"/>
      <c r="B225" s="4"/>
      <c r="C225" s="4"/>
      <c r="D225" s="4"/>
      <c r="E225" s="4" t="s">
        <v>305</v>
      </c>
      <c r="F225" s="4"/>
      <c r="G225" s="7"/>
      <c r="H225" s="6"/>
      <c r="I225" s="7"/>
    </row>
    <row r="226" spans="1:9">
      <c r="A226" s="4"/>
      <c r="B226" s="4"/>
      <c r="C226" s="4"/>
      <c r="D226" s="4"/>
      <c r="E226" s="4"/>
      <c r="F226" s="4" t="s">
        <v>306</v>
      </c>
      <c r="G226" s="7">
        <v>0</v>
      </c>
      <c r="H226" s="6"/>
      <c r="I226" s="7">
        <v>84.15</v>
      </c>
    </row>
    <row r="227" spans="1:9">
      <c r="A227" s="4"/>
      <c r="B227" s="4"/>
      <c r="C227" s="4"/>
      <c r="D227" s="4"/>
      <c r="E227" s="4"/>
      <c r="F227" s="4" t="s">
        <v>307</v>
      </c>
      <c r="G227" s="7">
        <v>0</v>
      </c>
      <c r="H227" s="6"/>
      <c r="I227" s="7">
        <v>1000</v>
      </c>
    </row>
    <row r="228" spans="1:9" ht="15.75" thickBot="1">
      <c r="A228" s="4"/>
      <c r="B228" s="4"/>
      <c r="C228" s="4"/>
      <c r="D228" s="4"/>
      <c r="E228" s="4"/>
      <c r="F228" s="4" t="s">
        <v>308</v>
      </c>
      <c r="G228" s="9">
        <v>5100</v>
      </c>
      <c r="H228" s="6"/>
      <c r="I228" s="9">
        <v>32500</v>
      </c>
    </row>
    <row r="229" spans="1:9">
      <c r="A229" s="4"/>
      <c r="B229" s="4"/>
      <c r="C229" s="4"/>
      <c r="D229" s="4"/>
      <c r="E229" s="4" t="s">
        <v>309</v>
      </c>
      <c r="F229" s="4"/>
      <c r="G229" s="7">
        <f>ROUND(SUM(G225:G228),5)</f>
        <v>5100</v>
      </c>
      <c r="H229" s="6"/>
      <c r="I229" s="7">
        <f>ROUND(SUM(I225:I228),5)</f>
        <v>33584.15</v>
      </c>
    </row>
    <row r="230" spans="1:9">
      <c r="A230" s="4"/>
      <c r="B230" s="4"/>
      <c r="C230" s="4"/>
      <c r="D230" s="4"/>
      <c r="E230" s="4" t="s">
        <v>310</v>
      </c>
      <c r="F230" s="4"/>
      <c r="G230" s="7"/>
      <c r="H230" s="6"/>
      <c r="I230" s="7"/>
    </row>
    <row r="231" spans="1:9">
      <c r="A231" s="4"/>
      <c r="B231" s="4"/>
      <c r="C231" s="4"/>
      <c r="D231" s="4"/>
      <c r="E231" s="4"/>
      <c r="F231" s="4" t="s">
        <v>311</v>
      </c>
      <c r="G231" s="7">
        <v>0</v>
      </c>
      <c r="H231" s="6"/>
      <c r="I231" s="7">
        <v>-400</v>
      </c>
    </row>
    <row r="232" spans="1:9" ht="15.75" thickBot="1">
      <c r="A232" s="4"/>
      <c r="B232" s="4"/>
      <c r="C232" s="4"/>
      <c r="D232" s="4"/>
      <c r="E232" s="4"/>
      <c r="F232" s="4" t="s">
        <v>312</v>
      </c>
      <c r="G232" s="9">
        <v>0</v>
      </c>
      <c r="H232" s="6"/>
      <c r="I232" s="9">
        <v>45.9</v>
      </c>
    </row>
    <row r="233" spans="1:9">
      <c r="A233" s="4"/>
      <c r="B233" s="4"/>
      <c r="C233" s="4"/>
      <c r="D233" s="4"/>
      <c r="E233" s="4" t="s">
        <v>313</v>
      </c>
      <c r="F233" s="4"/>
      <c r="G233" s="7">
        <f>ROUND(SUM(G230:G232),5)</f>
        <v>0</v>
      </c>
      <c r="H233" s="6"/>
      <c r="I233" s="7">
        <f>ROUND(SUM(I230:I232),5)</f>
        <v>-354.1</v>
      </c>
    </row>
    <row r="234" spans="1:9">
      <c r="A234" s="4"/>
      <c r="B234" s="4"/>
      <c r="C234" s="4"/>
      <c r="D234" s="4"/>
      <c r="E234" s="4" t="s">
        <v>314</v>
      </c>
      <c r="F234" s="4"/>
      <c r="G234" s="7"/>
      <c r="H234" s="6"/>
      <c r="I234" s="7"/>
    </row>
    <row r="235" spans="1:9">
      <c r="A235" s="4"/>
      <c r="B235" s="4"/>
      <c r="C235" s="4"/>
      <c r="D235" s="4"/>
      <c r="E235" s="4"/>
      <c r="F235" s="4" t="s">
        <v>315</v>
      </c>
      <c r="G235" s="7">
        <v>1964.8</v>
      </c>
      <c r="H235" s="6"/>
      <c r="I235" s="7">
        <v>5819.8</v>
      </c>
    </row>
    <row r="236" spans="1:9">
      <c r="A236" s="4"/>
      <c r="B236" s="4"/>
      <c r="C236" s="4"/>
      <c r="D236" s="4"/>
      <c r="E236" s="4"/>
      <c r="F236" s="4" t="s">
        <v>316</v>
      </c>
      <c r="G236" s="7">
        <v>404</v>
      </c>
      <c r="H236" s="6"/>
      <c r="I236" s="7">
        <v>1904</v>
      </c>
    </row>
    <row r="237" spans="1:9">
      <c r="A237" s="4"/>
      <c r="B237" s="4"/>
      <c r="C237" s="4"/>
      <c r="D237" s="4"/>
      <c r="E237" s="4"/>
      <c r="F237" s="4" t="s">
        <v>317</v>
      </c>
      <c r="G237" s="7">
        <v>4173.46</v>
      </c>
      <c r="H237" s="6"/>
      <c r="I237" s="7">
        <v>23292.37</v>
      </c>
    </row>
    <row r="238" spans="1:9">
      <c r="A238" s="4"/>
      <c r="B238" s="4"/>
      <c r="C238" s="4"/>
      <c r="D238" s="4"/>
      <c r="E238" s="4"/>
      <c r="F238" s="4" t="s">
        <v>318</v>
      </c>
      <c r="G238" s="7">
        <v>729.5</v>
      </c>
      <c r="H238" s="6"/>
      <c r="I238" s="7">
        <v>1005.37</v>
      </c>
    </row>
    <row r="239" spans="1:9" ht="15.75" thickBot="1">
      <c r="A239" s="4"/>
      <c r="B239" s="4"/>
      <c r="C239" s="4"/>
      <c r="D239" s="4"/>
      <c r="E239" s="4"/>
      <c r="F239" s="4" t="s">
        <v>319</v>
      </c>
      <c r="G239" s="9">
        <v>125</v>
      </c>
      <c r="H239" s="6"/>
      <c r="I239" s="9">
        <v>1281</v>
      </c>
    </row>
    <row r="240" spans="1:9">
      <c r="A240" s="4"/>
      <c r="B240" s="4"/>
      <c r="C240" s="4"/>
      <c r="D240" s="4"/>
      <c r="E240" s="4" t="s">
        <v>320</v>
      </c>
      <c r="F240" s="4"/>
      <c r="G240" s="7">
        <f>ROUND(SUM(G234:G239),5)</f>
        <v>7396.76</v>
      </c>
      <c r="H240" s="6"/>
      <c r="I240" s="7">
        <f>ROUND(SUM(I234:I239),5)</f>
        <v>33302.54</v>
      </c>
    </row>
    <row r="241" spans="1:11">
      <c r="A241" s="4"/>
      <c r="B241" s="4"/>
      <c r="C241" s="4"/>
      <c r="D241" s="4"/>
      <c r="E241" s="4" t="s">
        <v>321</v>
      </c>
      <c r="F241" s="4"/>
      <c r="G241" s="7"/>
      <c r="H241" s="6"/>
      <c r="I241" s="7"/>
    </row>
    <row r="242" spans="1:11" ht="15.75" thickBot="1">
      <c r="A242" s="4"/>
      <c r="B242" s="4"/>
      <c r="C242" s="4"/>
      <c r="D242" s="4"/>
      <c r="E242" s="4"/>
      <c r="F242" s="4" t="s">
        <v>322</v>
      </c>
      <c r="G242" s="7">
        <v>0</v>
      </c>
      <c r="H242" s="6"/>
      <c r="I242" s="7">
        <v>16220</v>
      </c>
    </row>
    <row r="243" spans="1:11">
      <c r="A243" s="4"/>
      <c r="B243" s="4"/>
      <c r="C243" s="4"/>
      <c r="D243" s="4"/>
      <c r="E243" s="4" t="s">
        <v>323</v>
      </c>
      <c r="F243" s="4"/>
      <c r="G243" s="5">
        <f>ROUND(SUM(G241:G242),5)</f>
        <v>0</v>
      </c>
      <c r="H243" s="6"/>
      <c r="I243" s="5">
        <f>ROUND(SUM(I241:I242),5)</f>
        <v>16220</v>
      </c>
    </row>
    <row r="244" spans="1:11">
      <c r="A244" s="4"/>
      <c r="B244" s="4"/>
      <c r="C244" s="4"/>
      <c r="D244" s="4" t="s">
        <v>324</v>
      </c>
      <c r="E244" s="4"/>
      <c r="F244" s="4"/>
      <c r="G244" s="8">
        <f>ROUND(SUM(G34:G36)+G68+G71+G82+G85+G94+G98+G104+G111+G115+G131+G139+G142+G145+G149+G152+G155+G161+G177+G180+G184+G187+G194+G197+G208+G218+G221+G224+G229+G233+G240+G243,5)</f>
        <v>1077353.52</v>
      </c>
      <c r="H244" s="6"/>
      <c r="I244" s="8">
        <f>ROUND(SUM(I34:I36)+I68+I71+I82+I85+I94+I98+I104+I111+I115+I131+I139+I142+I145+I149+I152+I155+I161+I177+I180+I184+I187+I194+I197+I208+I218+I221+I224+I229+I233+I240+I243,5)</f>
        <v>4406628.47</v>
      </c>
      <c r="J244">
        <v>244559.59</v>
      </c>
      <c r="K244" s="99">
        <f>I244+J244-105877.32</f>
        <v>4545310.7399999993</v>
      </c>
    </row>
    <row r="245" spans="1:11">
      <c r="A245" s="4"/>
      <c r="B245" s="4" t="s">
        <v>325</v>
      </c>
      <c r="C245" s="4"/>
      <c r="D245" s="4"/>
      <c r="E245" s="4"/>
      <c r="F245" s="4"/>
      <c r="G245" s="7">
        <f>ROUND(G3+G33-G244,5)</f>
        <v>367036.9</v>
      </c>
      <c r="H245" s="6"/>
      <c r="I245" s="7">
        <f>ROUND(I3+I33-I244,5)</f>
        <v>542510.37</v>
      </c>
      <c r="K245" s="99"/>
    </row>
    <row r="246" spans="1:11">
      <c r="A246" s="4"/>
      <c r="B246" s="4" t="s">
        <v>326</v>
      </c>
      <c r="C246" s="4"/>
      <c r="D246" s="4"/>
      <c r="E246" s="4"/>
      <c r="F246" s="4"/>
      <c r="G246" s="7"/>
      <c r="H246" s="6"/>
      <c r="I246" s="7"/>
    </row>
    <row r="247" spans="1:11">
      <c r="A247" s="4"/>
      <c r="B247" s="4"/>
      <c r="C247" s="4" t="s">
        <v>327</v>
      </c>
      <c r="D247" s="4"/>
      <c r="E247" s="4"/>
      <c r="F247" s="4"/>
      <c r="G247" s="7"/>
      <c r="H247" s="6"/>
      <c r="I247" s="7"/>
    </row>
    <row r="248" spans="1:11" ht="15.75" thickBot="1">
      <c r="A248" s="4"/>
      <c r="B248" s="4"/>
      <c r="C248" s="4"/>
      <c r="D248" s="4" t="s">
        <v>328</v>
      </c>
      <c r="E248" s="4"/>
      <c r="F248" s="4"/>
      <c r="G248" s="7">
        <v>21829.040000000001</v>
      </c>
      <c r="H248" s="6"/>
      <c r="I248" s="7">
        <v>114644.31</v>
      </c>
    </row>
    <row r="249" spans="1:11" ht="15.75" thickBot="1">
      <c r="A249" s="4"/>
      <c r="B249" s="4"/>
      <c r="C249" s="4" t="s">
        <v>329</v>
      </c>
      <c r="D249" s="4"/>
      <c r="E249" s="4"/>
      <c r="F249" s="4"/>
      <c r="G249" s="5">
        <f>ROUND(SUM(G247:G248),5)</f>
        <v>21829.040000000001</v>
      </c>
      <c r="H249" s="6"/>
      <c r="I249" s="5">
        <f>ROUND(SUM(I247:I248),5)</f>
        <v>114644.31</v>
      </c>
    </row>
    <row r="250" spans="1:11" ht="15.75" thickBot="1">
      <c r="A250" s="4"/>
      <c r="B250" s="4" t="s">
        <v>330</v>
      </c>
      <c r="C250" s="4"/>
      <c r="D250" s="4"/>
      <c r="E250" s="4"/>
      <c r="F250" s="4"/>
      <c r="G250" s="5">
        <f>ROUND(G246-G249,5)</f>
        <v>-21829.040000000001</v>
      </c>
      <c r="H250" s="6"/>
      <c r="I250" s="5">
        <f>ROUND(I246-I249,5)</f>
        <v>-114644.31</v>
      </c>
    </row>
    <row r="251" spans="1:11" s="2" customFormat="1" ht="12" thickBot="1">
      <c r="A251" s="4" t="s">
        <v>78</v>
      </c>
      <c r="B251" s="4"/>
      <c r="C251" s="4"/>
      <c r="D251" s="4"/>
      <c r="E251" s="4"/>
      <c r="F251" s="4"/>
      <c r="G251" s="3">
        <f>ROUND(G245+G250,5)</f>
        <v>345207.86</v>
      </c>
      <c r="H251" s="4"/>
      <c r="I251" s="3">
        <f>ROUND(I245+I250,5)</f>
        <v>427866.06</v>
      </c>
      <c r="J251" s="98"/>
    </row>
    <row r="252" spans="1:11" ht="15.75" thickTop="1"/>
  </sheetData>
  <pageMargins left="0.7" right="0.7" top="0.75" bottom="0.75" header="0.1" footer="0.3"/>
  <pageSetup orientation="portrait" r:id="rId1"/>
  <headerFooter>
    <oddHeader>&amp;L&amp;"Arial,Bold"&amp;8 11:45 AM
&amp;"Arial,Bold"&amp;8 07/28/26
&amp;"Arial,Bold"&amp;8 Accrual Basis&amp;C&amp;"Arial,Bold"&amp;12 Believe Schools Inc
&amp;"Arial,Bold"&amp;14 Profit &amp;&amp; Loss
&amp;"Arial,Bold"&amp;10 April through June 2026</oddHeader>
    <oddFooter>&amp;R&amp;"Arial,Bold"&amp;8 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323F-E8E9-4BF5-A04D-85734D26A495}">
  <dimension ref="A1:AW191"/>
  <sheetViews>
    <sheetView workbookViewId="0">
      <pane xSplit="6" ySplit="1" topLeftCell="G2" activePane="bottomRight" state="frozenSplit"/>
      <selection pane="bottomRight"/>
      <selection pane="bottomLeft" activeCell="A2" sqref="A2"/>
      <selection pane="topRight" activeCell="G1" sqref="G1"/>
    </sheetView>
  </sheetViews>
  <sheetFormatPr defaultRowHeight="15"/>
  <cols>
    <col min="1" max="5" width="3" style="2" customWidth="1"/>
    <col min="6" max="6" width="31.5703125" style="2" customWidth="1"/>
    <col min="7" max="7" width="18" bestFit="1" customWidth="1"/>
    <col min="8" max="8" width="2.28515625" customWidth="1"/>
    <col min="9" max="9" width="27.7109375" bestFit="1" customWidth="1"/>
    <col min="10" max="10" width="2.28515625" customWidth="1"/>
    <col min="11" max="11" width="17.5703125" bestFit="1" customWidth="1"/>
    <col min="12" max="12" width="2.28515625" customWidth="1"/>
    <col min="13" max="13" width="12.5703125" bestFit="1" customWidth="1"/>
    <col min="14" max="14" width="2.28515625" customWidth="1"/>
    <col min="15" max="15" width="20.28515625" bestFit="1" customWidth="1"/>
    <col min="16" max="16" width="2.28515625" customWidth="1"/>
    <col min="17" max="17" width="14.42578125" bestFit="1" customWidth="1"/>
    <col min="18" max="18" width="2.28515625" customWidth="1"/>
    <col min="19" max="19" width="17.5703125" bestFit="1" customWidth="1"/>
    <col min="20" max="20" width="2.28515625" customWidth="1"/>
    <col min="21" max="21" width="15.85546875" bestFit="1" customWidth="1"/>
    <col min="22" max="22" width="2.28515625" customWidth="1"/>
    <col min="23" max="23" width="14.85546875" bestFit="1" customWidth="1"/>
    <col min="24" max="24" width="2.28515625" customWidth="1"/>
    <col min="25" max="25" width="17.85546875" bestFit="1" customWidth="1"/>
    <col min="26" max="26" width="2.28515625" customWidth="1"/>
    <col min="27" max="27" width="19.42578125" bestFit="1" customWidth="1"/>
    <col min="28" max="28" width="2.28515625" customWidth="1"/>
    <col min="29" max="29" width="15.140625" bestFit="1" customWidth="1"/>
    <col min="30" max="30" width="2.28515625" customWidth="1"/>
    <col min="31" max="31" width="23.85546875" bestFit="1" customWidth="1"/>
    <col min="32" max="32" width="2.28515625" customWidth="1"/>
    <col min="33" max="33" width="22.42578125" bestFit="1" customWidth="1"/>
    <col min="34" max="34" width="2.28515625" customWidth="1"/>
    <col min="35" max="35" width="13.7109375" bestFit="1" customWidth="1"/>
    <col min="36" max="36" width="2.28515625" customWidth="1"/>
    <col min="37" max="37" width="19.7109375" bestFit="1" customWidth="1"/>
    <col min="38" max="38" width="2.28515625" customWidth="1"/>
    <col min="39" max="39" width="13.7109375" bestFit="1" customWidth="1"/>
    <col min="40" max="40" width="2.28515625" customWidth="1"/>
    <col min="41" max="41" width="14.85546875" bestFit="1" customWidth="1"/>
    <col min="42" max="42" width="2.28515625" customWidth="1"/>
    <col min="43" max="43" width="14.140625" bestFit="1" customWidth="1"/>
    <col min="44" max="44" width="2.28515625" customWidth="1"/>
    <col min="45" max="45" width="11.42578125" bestFit="1" customWidth="1"/>
    <col min="46" max="46" width="2.28515625" customWidth="1"/>
    <col min="47" max="47" width="20.28515625" bestFit="1" customWidth="1"/>
    <col min="48" max="48" width="2.28515625" customWidth="1"/>
    <col min="49" max="49" width="10" bestFit="1" customWidth="1"/>
  </cols>
  <sheetData>
    <row r="1" spans="1:49" s="1" customFormat="1" ht="15.75" thickBot="1">
      <c r="A1" s="12"/>
      <c r="B1" s="12"/>
      <c r="C1" s="12"/>
      <c r="D1" s="12"/>
      <c r="E1" s="12"/>
      <c r="F1" s="12"/>
      <c r="G1" s="10" t="s">
        <v>30</v>
      </c>
      <c r="H1" s="11"/>
      <c r="I1" s="10" t="s">
        <v>8</v>
      </c>
      <c r="J1" s="11"/>
      <c r="K1" s="10" t="s">
        <v>331</v>
      </c>
      <c r="L1" s="11"/>
      <c r="M1" s="10" t="s">
        <v>332</v>
      </c>
      <c r="N1" s="11"/>
      <c r="O1" s="10" t="s">
        <v>333</v>
      </c>
      <c r="P1" s="11"/>
      <c r="Q1" s="10" t="s">
        <v>17</v>
      </c>
      <c r="R1" s="11"/>
      <c r="S1" s="10" t="s">
        <v>20</v>
      </c>
      <c r="T1" s="11"/>
      <c r="U1" s="10" t="s">
        <v>334</v>
      </c>
      <c r="V1" s="11"/>
      <c r="W1" s="10" t="s">
        <v>335</v>
      </c>
      <c r="X1" s="11"/>
      <c r="Y1" s="10" t="s">
        <v>336</v>
      </c>
      <c r="Z1" s="11"/>
      <c r="AA1" s="10" t="s">
        <v>337</v>
      </c>
      <c r="AB1" s="11"/>
      <c r="AC1" s="10" t="s">
        <v>338</v>
      </c>
      <c r="AD1" s="11"/>
      <c r="AE1" s="10" t="s">
        <v>22</v>
      </c>
      <c r="AF1" s="11"/>
      <c r="AG1" s="10" t="s">
        <v>339</v>
      </c>
      <c r="AH1" s="11"/>
      <c r="AI1" s="10" t="s">
        <v>23</v>
      </c>
      <c r="AJ1" s="11"/>
      <c r="AK1" s="10" t="s">
        <v>340</v>
      </c>
      <c r="AL1" s="11"/>
      <c r="AM1" s="10" t="s">
        <v>24</v>
      </c>
      <c r="AN1" s="11"/>
      <c r="AO1" s="10" t="s">
        <v>341</v>
      </c>
      <c r="AP1" s="11"/>
      <c r="AQ1" s="10" t="s">
        <v>342</v>
      </c>
      <c r="AR1" s="11"/>
      <c r="AS1" s="10" t="s">
        <v>343</v>
      </c>
      <c r="AT1" s="11"/>
      <c r="AU1" s="10" t="s">
        <v>344</v>
      </c>
      <c r="AV1" s="11"/>
      <c r="AW1" s="10" t="s">
        <v>345</v>
      </c>
    </row>
    <row r="2" spans="1:49" ht="15.75" thickTop="1">
      <c r="A2" s="4"/>
      <c r="B2" s="4" t="s">
        <v>83</v>
      </c>
      <c r="C2" s="4"/>
      <c r="D2" s="4"/>
      <c r="E2" s="4"/>
      <c r="F2" s="4"/>
      <c r="G2" s="7"/>
      <c r="H2" s="6"/>
      <c r="I2" s="7"/>
      <c r="J2" s="6"/>
      <c r="K2" s="7"/>
      <c r="L2" s="6"/>
      <c r="M2" s="7"/>
      <c r="N2" s="6"/>
      <c r="O2" s="7"/>
      <c r="P2" s="6"/>
      <c r="Q2" s="7"/>
      <c r="R2" s="6"/>
      <c r="S2" s="7"/>
      <c r="T2" s="6"/>
      <c r="U2" s="7"/>
      <c r="V2" s="6"/>
      <c r="W2" s="7"/>
      <c r="X2" s="6"/>
      <c r="Y2" s="7"/>
      <c r="Z2" s="6"/>
      <c r="AA2" s="7"/>
      <c r="AB2" s="6"/>
      <c r="AC2" s="7"/>
      <c r="AD2" s="6"/>
      <c r="AE2" s="7"/>
      <c r="AF2" s="6"/>
      <c r="AG2" s="7"/>
      <c r="AH2" s="6"/>
      <c r="AI2" s="7"/>
      <c r="AJ2" s="6"/>
      <c r="AK2" s="7"/>
      <c r="AL2" s="6"/>
      <c r="AM2" s="7"/>
      <c r="AN2" s="6"/>
      <c r="AO2" s="7"/>
      <c r="AP2" s="6"/>
      <c r="AQ2" s="7"/>
      <c r="AR2" s="6"/>
      <c r="AS2" s="7"/>
      <c r="AT2" s="6"/>
      <c r="AU2" s="7"/>
      <c r="AV2" s="6"/>
      <c r="AW2" s="7"/>
    </row>
    <row r="3" spans="1:49">
      <c r="A3" s="4"/>
      <c r="B3" s="4"/>
      <c r="C3" s="4"/>
      <c r="D3" s="4" t="s">
        <v>84</v>
      </c>
      <c r="E3" s="4"/>
      <c r="F3" s="4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6"/>
      <c r="AE3" s="7"/>
      <c r="AF3" s="6"/>
      <c r="AG3" s="7"/>
      <c r="AH3" s="6"/>
      <c r="AI3" s="7"/>
      <c r="AJ3" s="6"/>
      <c r="AK3" s="7"/>
      <c r="AL3" s="6"/>
      <c r="AM3" s="7"/>
      <c r="AN3" s="6"/>
      <c r="AO3" s="7"/>
      <c r="AP3" s="6"/>
      <c r="AQ3" s="7"/>
      <c r="AR3" s="6"/>
      <c r="AS3" s="7"/>
      <c r="AT3" s="6"/>
      <c r="AU3" s="7"/>
      <c r="AV3" s="6"/>
      <c r="AW3" s="7"/>
    </row>
    <row r="4" spans="1:49">
      <c r="A4" s="4"/>
      <c r="B4" s="4"/>
      <c r="C4" s="4"/>
      <c r="D4" s="4"/>
      <c r="E4" s="4" t="s">
        <v>85</v>
      </c>
      <c r="F4" s="4"/>
      <c r="G4" s="7">
        <v>270</v>
      </c>
      <c r="H4" s="6"/>
      <c r="I4" s="7">
        <v>0</v>
      </c>
      <c r="J4" s="6"/>
      <c r="K4" s="7">
        <v>0</v>
      </c>
      <c r="L4" s="6"/>
      <c r="M4" s="7">
        <v>0</v>
      </c>
      <c r="N4" s="6"/>
      <c r="O4" s="7">
        <v>0</v>
      </c>
      <c r="P4" s="6"/>
      <c r="Q4" s="7">
        <v>0</v>
      </c>
      <c r="R4" s="6"/>
      <c r="S4" s="7">
        <v>0</v>
      </c>
      <c r="T4" s="6"/>
      <c r="U4" s="7">
        <v>0</v>
      </c>
      <c r="V4" s="6"/>
      <c r="W4" s="7">
        <v>0</v>
      </c>
      <c r="X4" s="6"/>
      <c r="Y4" s="7">
        <v>0</v>
      </c>
      <c r="Z4" s="6"/>
      <c r="AA4" s="7">
        <v>0</v>
      </c>
      <c r="AB4" s="6"/>
      <c r="AC4" s="7">
        <v>0</v>
      </c>
      <c r="AD4" s="6"/>
      <c r="AE4" s="7">
        <v>0</v>
      </c>
      <c r="AF4" s="6"/>
      <c r="AG4" s="7">
        <v>0</v>
      </c>
      <c r="AH4" s="6"/>
      <c r="AI4" s="7">
        <v>0</v>
      </c>
      <c r="AJ4" s="6"/>
      <c r="AK4" s="7">
        <v>0</v>
      </c>
      <c r="AL4" s="6"/>
      <c r="AM4" s="7">
        <v>0</v>
      </c>
      <c r="AN4" s="6"/>
      <c r="AO4" s="7">
        <v>0</v>
      </c>
      <c r="AP4" s="6"/>
      <c r="AQ4" s="7">
        <v>0</v>
      </c>
      <c r="AR4" s="6"/>
      <c r="AS4" s="7">
        <v>0</v>
      </c>
      <c r="AT4" s="6"/>
      <c r="AU4" s="7">
        <v>0</v>
      </c>
      <c r="AV4" s="6"/>
      <c r="AW4" s="7">
        <f>ROUND(SUM(G4:AU4),5)</f>
        <v>270</v>
      </c>
    </row>
    <row r="5" spans="1:49">
      <c r="A5" s="4"/>
      <c r="B5" s="4"/>
      <c r="C5" s="4"/>
      <c r="D5" s="4"/>
      <c r="E5" s="4" t="s">
        <v>86</v>
      </c>
      <c r="F5" s="4"/>
      <c r="G5" s="7">
        <v>4548.58</v>
      </c>
      <c r="H5" s="6"/>
      <c r="I5" s="7">
        <v>0</v>
      </c>
      <c r="J5" s="6"/>
      <c r="K5" s="7">
        <v>0</v>
      </c>
      <c r="L5" s="6"/>
      <c r="M5" s="7">
        <v>0</v>
      </c>
      <c r="N5" s="6"/>
      <c r="O5" s="7">
        <v>0</v>
      </c>
      <c r="P5" s="6"/>
      <c r="Q5" s="7">
        <v>0</v>
      </c>
      <c r="R5" s="6"/>
      <c r="S5" s="7">
        <v>0</v>
      </c>
      <c r="T5" s="6"/>
      <c r="U5" s="7">
        <v>0</v>
      </c>
      <c r="V5" s="6"/>
      <c r="W5" s="7">
        <v>0</v>
      </c>
      <c r="X5" s="6"/>
      <c r="Y5" s="7">
        <v>0</v>
      </c>
      <c r="Z5" s="6"/>
      <c r="AA5" s="7">
        <v>0</v>
      </c>
      <c r="AB5" s="6"/>
      <c r="AC5" s="7">
        <v>0</v>
      </c>
      <c r="AD5" s="6"/>
      <c r="AE5" s="7">
        <v>0</v>
      </c>
      <c r="AF5" s="6"/>
      <c r="AG5" s="7">
        <v>0</v>
      </c>
      <c r="AH5" s="6"/>
      <c r="AI5" s="7">
        <v>0</v>
      </c>
      <c r="AJ5" s="6"/>
      <c r="AK5" s="7">
        <v>0</v>
      </c>
      <c r="AL5" s="6"/>
      <c r="AM5" s="7">
        <v>0</v>
      </c>
      <c r="AN5" s="6"/>
      <c r="AO5" s="7">
        <v>0</v>
      </c>
      <c r="AP5" s="6"/>
      <c r="AQ5" s="7">
        <v>0</v>
      </c>
      <c r="AR5" s="6"/>
      <c r="AS5" s="7">
        <v>0</v>
      </c>
      <c r="AT5" s="6"/>
      <c r="AU5" s="7">
        <v>0</v>
      </c>
      <c r="AV5" s="6"/>
      <c r="AW5" s="7">
        <f>ROUND(SUM(G5:AU5),5)</f>
        <v>4548.58</v>
      </c>
    </row>
    <row r="6" spans="1:49">
      <c r="A6" s="4"/>
      <c r="B6" s="4"/>
      <c r="C6" s="4"/>
      <c r="D6" s="4"/>
      <c r="E6" s="4" t="s">
        <v>87</v>
      </c>
      <c r="F6" s="4"/>
      <c r="G6" s="7">
        <v>9473.09</v>
      </c>
      <c r="H6" s="6"/>
      <c r="I6" s="7">
        <v>0</v>
      </c>
      <c r="J6" s="6"/>
      <c r="K6" s="7">
        <v>0</v>
      </c>
      <c r="L6" s="6"/>
      <c r="M6" s="7">
        <v>0</v>
      </c>
      <c r="N6" s="6"/>
      <c r="O6" s="7">
        <v>0</v>
      </c>
      <c r="P6" s="6"/>
      <c r="Q6" s="7">
        <v>6339.13</v>
      </c>
      <c r="R6" s="6"/>
      <c r="S6" s="7">
        <v>0</v>
      </c>
      <c r="T6" s="6"/>
      <c r="U6" s="7">
        <v>0</v>
      </c>
      <c r="V6" s="6"/>
      <c r="W6" s="7">
        <v>0</v>
      </c>
      <c r="X6" s="6"/>
      <c r="Y6" s="7">
        <v>0</v>
      </c>
      <c r="Z6" s="6"/>
      <c r="AA6" s="7">
        <v>0</v>
      </c>
      <c r="AB6" s="6"/>
      <c r="AC6" s="7">
        <v>0</v>
      </c>
      <c r="AD6" s="6"/>
      <c r="AE6" s="7">
        <v>0</v>
      </c>
      <c r="AF6" s="6"/>
      <c r="AG6" s="7">
        <v>0</v>
      </c>
      <c r="AH6" s="6"/>
      <c r="AI6" s="7">
        <v>0</v>
      </c>
      <c r="AJ6" s="6"/>
      <c r="AK6" s="7">
        <v>0</v>
      </c>
      <c r="AL6" s="6"/>
      <c r="AM6" s="7">
        <v>0</v>
      </c>
      <c r="AN6" s="6"/>
      <c r="AO6" s="7">
        <v>0</v>
      </c>
      <c r="AP6" s="6"/>
      <c r="AQ6" s="7">
        <v>0</v>
      </c>
      <c r="AR6" s="6"/>
      <c r="AS6" s="7">
        <v>0</v>
      </c>
      <c r="AT6" s="6"/>
      <c r="AU6" s="7">
        <v>0</v>
      </c>
      <c r="AV6" s="6"/>
      <c r="AW6" s="7">
        <f>ROUND(SUM(G6:AU6),5)</f>
        <v>15812.22</v>
      </c>
    </row>
    <row r="7" spans="1:49">
      <c r="A7" s="4"/>
      <c r="B7" s="4"/>
      <c r="C7" s="4"/>
      <c r="D7" s="4"/>
      <c r="E7" s="4" t="s">
        <v>88</v>
      </c>
      <c r="F7" s="4"/>
      <c r="G7" s="7">
        <v>1176.3599999999999</v>
      </c>
      <c r="H7" s="6"/>
      <c r="I7" s="7">
        <v>0</v>
      </c>
      <c r="J7" s="6"/>
      <c r="K7" s="7">
        <v>0</v>
      </c>
      <c r="L7" s="6"/>
      <c r="M7" s="7">
        <v>0</v>
      </c>
      <c r="N7" s="6"/>
      <c r="O7" s="7">
        <v>0</v>
      </c>
      <c r="P7" s="6"/>
      <c r="Q7" s="7">
        <v>0</v>
      </c>
      <c r="R7" s="6"/>
      <c r="S7" s="7">
        <v>0</v>
      </c>
      <c r="T7" s="6"/>
      <c r="U7" s="7">
        <v>259000</v>
      </c>
      <c r="V7" s="6"/>
      <c r="W7" s="7">
        <v>0</v>
      </c>
      <c r="X7" s="6"/>
      <c r="Y7" s="7">
        <v>0</v>
      </c>
      <c r="Z7" s="6"/>
      <c r="AA7" s="7">
        <v>0</v>
      </c>
      <c r="AB7" s="6"/>
      <c r="AC7" s="7">
        <v>0</v>
      </c>
      <c r="AD7" s="6"/>
      <c r="AE7" s="7">
        <v>0</v>
      </c>
      <c r="AF7" s="6"/>
      <c r="AG7" s="7">
        <v>0</v>
      </c>
      <c r="AH7" s="6"/>
      <c r="AI7" s="7">
        <v>0</v>
      </c>
      <c r="AJ7" s="6"/>
      <c r="AK7" s="7">
        <v>0</v>
      </c>
      <c r="AL7" s="6"/>
      <c r="AM7" s="7">
        <v>0</v>
      </c>
      <c r="AN7" s="6"/>
      <c r="AO7" s="7">
        <v>0</v>
      </c>
      <c r="AP7" s="6"/>
      <c r="AQ7" s="7">
        <v>0</v>
      </c>
      <c r="AR7" s="6"/>
      <c r="AS7" s="7">
        <v>0</v>
      </c>
      <c r="AT7" s="6"/>
      <c r="AU7" s="7">
        <v>0</v>
      </c>
      <c r="AV7" s="6"/>
      <c r="AW7" s="7">
        <f>ROUND(SUM(G7:AU7),5)</f>
        <v>260176.36</v>
      </c>
    </row>
    <row r="8" spans="1:49">
      <c r="A8" s="4"/>
      <c r="B8" s="4"/>
      <c r="C8" s="4"/>
      <c r="D8" s="4"/>
      <c r="E8" s="4" t="s">
        <v>89</v>
      </c>
      <c r="F8" s="4"/>
      <c r="G8" s="7">
        <v>0</v>
      </c>
      <c r="H8" s="6"/>
      <c r="I8" s="7">
        <v>0</v>
      </c>
      <c r="J8" s="6"/>
      <c r="K8" s="7">
        <v>0</v>
      </c>
      <c r="L8" s="6"/>
      <c r="M8" s="7">
        <v>0</v>
      </c>
      <c r="N8" s="6"/>
      <c r="O8" s="7">
        <v>0</v>
      </c>
      <c r="P8" s="6"/>
      <c r="Q8" s="7">
        <v>0</v>
      </c>
      <c r="R8" s="6"/>
      <c r="S8" s="7">
        <v>0</v>
      </c>
      <c r="T8" s="6"/>
      <c r="U8" s="7">
        <v>0</v>
      </c>
      <c r="V8" s="6"/>
      <c r="W8" s="7">
        <v>0</v>
      </c>
      <c r="X8" s="6"/>
      <c r="Y8" s="7">
        <v>0</v>
      </c>
      <c r="Z8" s="6"/>
      <c r="AA8" s="7">
        <v>0</v>
      </c>
      <c r="AB8" s="6"/>
      <c r="AC8" s="7">
        <v>0</v>
      </c>
      <c r="AD8" s="6"/>
      <c r="AE8" s="7">
        <v>0</v>
      </c>
      <c r="AF8" s="6"/>
      <c r="AG8" s="7">
        <v>0</v>
      </c>
      <c r="AH8" s="6"/>
      <c r="AI8" s="7">
        <v>0</v>
      </c>
      <c r="AJ8" s="6"/>
      <c r="AK8" s="7">
        <v>0</v>
      </c>
      <c r="AL8" s="6"/>
      <c r="AM8" s="7">
        <v>0</v>
      </c>
      <c r="AN8" s="6"/>
      <c r="AO8" s="7">
        <v>0</v>
      </c>
      <c r="AP8" s="6"/>
      <c r="AQ8" s="7">
        <v>0</v>
      </c>
      <c r="AR8" s="6"/>
      <c r="AS8" s="7">
        <v>0</v>
      </c>
      <c r="AT8" s="6"/>
      <c r="AU8" s="7">
        <v>0</v>
      </c>
      <c r="AV8" s="6"/>
      <c r="AW8" s="7">
        <f>ROUND(SUM(G8:AU8),5)</f>
        <v>0</v>
      </c>
    </row>
    <row r="9" spans="1:49">
      <c r="A9" s="4"/>
      <c r="B9" s="4"/>
      <c r="C9" s="4"/>
      <c r="D9" s="4"/>
      <c r="E9" s="4" t="s">
        <v>90</v>
      </c>
      <c r="F9" s="4"/>
      <c r="G9" s="7">
        <v>2599.1799999999998</v>
      </c>
      <c r="H9" s="6"/>
      <c r="I9" s="7">
        <v>0</v>
      </c>
      <c r="J9" s="6"/>
      <c r="K9" s="7">
        <v>191.89</v>
      </c>
      <c r="L9" s="6"/>
      <c r="M9" s="7">
        <v>0</v>
      </c>
      <c r="N9" s="6"/>
      <c r="O9" s="7">
        <v>0</v>
      </c>
      <c r="P9" s="6"/>
      <c r="Q9" s="7">
        <v>0</v>
      </c>
      <c r="R9" s="6"/>
      <c r="S9" s="7">
        <v>0</v>
      </c>
      <c r="T9" s="6"/>
      <c r="U9" s="7">
        <v>0</v>
      </c>
      <c r="V9" s="6"/>
      <c r="W9" s="7">
        <v>0</v>
      </c>
      <c r="X9" s="6"/>
      <c r="Y9" s="7">
        <v>0</v>
      </c>
      <c r="Z9" s="6"/>
      <c r="AA9" s="7">
        <v>0</v>
      </c>
      <c r="AB9" s="6"/>
      <c r="AC9" s="7">
        <v>0</v>
      </c>
      <c r="AD9" s="6"/>
      <c r="AE9" s="7">
        <v>0</v>
      </c>
      <c r="AF9" s="6"/>
      <c r="AG9" s="7">
        <v>0</v>
      </c>
      <c r="AH9" s="6"/>
      <c r="AI9" s="7">
        <v>0</v>
      </c>
      <c r="AJ9" s="6"/>
      <c r="AK9" s="7">
        <v>0</v>
      </c>
      <c r="AL9" s="6"/>
      <c r="AM9" s="7">
        <v>0</v>
      </c>
      <c r="AN9" s="6"/>
      <c r="AO9" s="7">
        <v>0</v>
      </c>
      <c r="AP9" s="6"/>
      <c r="AQ9" s="7">
        <v>0</v>
      </c>
      <c r="AR9" s="6"/>
      <c r="AS9" s="7">
        <v>0</v>
      </c>
      <c r="AT9" s="6"/>
      <c r="AU9" s="7">
        <v>0</v>
      </c>
      <c r="AV9" s="6"/>
      <c r="AW9" s="7">
        <f>ROUND(SUM(G9:AU9),5)</f>
        <v>2791.07</v>
      </c>
    </row>
    <row r="10" spans="1:49">
      <c r="A10" s="4"/>
      <c r="B10" s="4"/>
      <c r="C10" s="4"/>
      <c r="D10" s="4"/>
      <c r="E10" s="4" t="s">
        <v>91</v>
      </c>
      <c r="F10" s="4"/>
      <c r="G10" s="7">
        <v>668621.25</v>
      </c>
      <c r="H10" s="6"/>
      <c r="I10" s="7">
        <v>0</v>
      </c>
      <c r="J10" s="6"/>
      <c r="K10" s="7">
        <v>0</v>
      </c>
      <c r="L10" s="6"/>
      <c r="M10" s="7">
        <v>0</v>
      </c>
      <c r="N10" s="6"/>
      <c r="O10" s="7">
        <v>0</v>
      </c>
      <c r="P10" s="6"/>
      <c r="Q10" s="7">
        <v>0</v>
      </c>
      <c r="R10" s="6"/>
      <c r="S10" s="7">
        <v>0</v>
      </c>
      <c r="T10" s="6"/>
      <c r="U10" s="7">
        <v>0</v>
      </c>
      <c r="V10" s="6"/>
      <c r="W10" s="7">
        <v>750</v>
      </c>
      <c r="X10" s="6"/>
      <c r="Y10" s="7">
        <v>0</v>
      </c>
      <c r="Z10" s="6"/>
      <c r="AA10" s="7">
        <v>0</v>
      </c>
      <c r="AB10" s="6"/>
      <c r="AC10" s="7">
        <v>0</v>
      </c>
      <c r="AD10" s="6"/>
      <c r="AE10" s="7">
        <v>0</v>
      </c>
      <c r="AF10" s="6"/>
      <c r="AG10" s="7">
        <v>0</v>
      </c>
      <c r="AH10" s="6"/>
      <c r="AI10" s="7">
        <v>0</v>
      </c>
      <c r="AJ10" s="6"/>
      <c r="AK10" s="7">
        <v>0</v>
      </c>
      <c r="AL10" s="6"/>
      <c r="AM10" s="7">
        <v>0</v>
      </c>
      <c r="AN10" s="6"/>
      <c r="AO10" s="7">
        <v>0</v>
      </c>
      <c r="AP10" s="6"/>
      <c r="AQ10" s="7">
        <v>0</v>
      </c>
      <c r="AR10" s="6"/>
      <c r="AS10" s="7">
        <v>0</v>
      </c>
      <c r="AT10" s="6"/>
      <c r="AU10" s="7">
        <v>0</v>
      </c>
      <c r="AV10" s="6"/>
      <c r="AW10" s="7">
        <f>ROUND(SUM(G10:AU10),5)</f>
        <v>669371.25</v>
      </c>
    </row>
    <row r="11" spans="1:49">
      <c r="A11" s="4"/>
      <c r="B11" s="4"/>
      <c r="C11" s="4"/>
      <c r="D11" s="4"/>
      <c r="E11" s="4" t="s">
        <v>92</v>
      </c>
      <c r="F11" s="4"/>
      <c r="G11" s="7">
        <v>60000</v>
      </c>
      <c r="H11" s="6"/>
      <c r="I11" s="7">
        <v>0</v>
      </c>
      <c r="J11" s="6"/>
      <c r="K11" s="7">
        <v>0</v>
      </c>
      <c r="L11" s="6"/>
      <c r="M11" s="7">
        <v>0</v>
      </c>
      <c r="N11" s="6"/>
      <c r="O11" s="7">
        <v>0</v>
      </c>
      <c r="P11" s="6"/>
      <c r="Q11" s="7">
        <v>0</v>
      </c>
      <c r="R11" s="6"/>
      <c r="S11" s="7">
        <v>0</v>
      </c>
      <c r="T11" s="6"/>
      <c r="U11" s="7">
        <v>0</v>
      </c>
      <c r="V11" s="6"/>
      <c r="W11" s="7">
        <v>0</v>
      </c>
      <c r="X11" s="6"/>
      <c r="Y11" s="7">
        <v>0</v>
      </c>
      <c r="Z11" s="6"/>
      <c r="AA11" s="7">
        <v>0</v>
      </c>
      <c r="AB11" s="6"/>
      <c r="AC11" s="7">
        <v>0</v>
      </c>
      <c r="AD11" s="6"/>
      <c r="AE11" s="7">
        <v>0</v>
      </c>
      <c r="AF11" s="6"/>
      <c r="AG11" s="7">
        <v>0</v>
      </c>
      <c r="AH11" s="6"/>
      <c r="AI11" s="7">
        <v>0</v>
      </c>
      <c r="AJ11" s="6"/>
      <c r="AK11" s="7">
        <v>0</v>
      </c>
      <c r="AL11" s="6"/>
      <c r="AM11" s="7">
        <v>0</v>
      </c>
      <c r="AN11" s="6"/>
      <c r="AO11" s="7">
        <v>0</v>
      </c>
      <c r="AP11" s="6"/>
      <c r="AQ11" s="7">
        <v>0</v>
      </c>
      <c r="AR11" s="6"/>
      <c r="AS11" s="7">
        <v>0</v>
      </c>
      <c r="AT11" s="6"/>
      <c r="AU11" s="7">
        <v>0</v>
      </c>
      <c r="AV11" s="6"/>
      <c r="AW11" s="7">
        <f>ROUND(SUM(G11:AU11),5)</f>
        <v>60000</v>
      </c>
    </row>
    <row r="12" spans="1:49">
      <c r="A12" s="4"/>
      <c r="B12" s="4"/>
      <c r="C12" s="4"/>
      <c r="D12" s="4"/>
      <c r="E12" s="4" t="s">
        <v>95</v>
      </c>
      <c r="F12" s="4"/>
      <c r="G12" s="7">
        <v>0</v>
      </c>
      <c r="H12" s="6"/>
      <c r="I12" s="7">
        <v>0</v>
      </c>
      <c r="J12" s="6"/>
      <c r="K12" s="7">
        <v>0</v>
      </c>
      <c r="L12" s="6"/>
      <c r="M12" s="7">
        <v>0</v>
      </c>
      <c r="N12" s="6"/>
      <c r="O12" s="7">
        <v>0</v>
      </c>
      <c r="P12" s="6"/>
      <c r="Q12" s="7">
        <v>0</v>
      </c>
      <c r="R12" s="6"/>
      <c r="S12" s="7">
        <v>0</v>
      </c>
      <c r="T12" s="6"/>
      <c r="U12" s="7">
        <v>0</v>
      </c>
      <c r="V12" s="6"/>
      <c r="W12" s="7">
        <v>0</v>
      </c>
      <c r="X12" s="6"/>
      <c r="Y12" s="7">
        <v>0</v>
      </c>
      <c r="Z12" s="6"/>
      <c r="AA12" s="7">
        <v>0</v>
      </c>
      <c r="AB12" s="6"/>
      <c r="AC12" s="7">
        <v>0</v>
      </c>
      <c r="AD12" s="6"/>
      <c r="AE12" s="7">
        <v>1479.68</v>
      </c>
      <c r="AF12" s="6"/>
      <c r="AG12" s="7">
        <v>0</v>
      </c>
      <c r="AH12" s="6"/>
      <c r="AI12" s="7">
        <v>0</v>
      </c>
      <c r="AJ12" s="6"/>
      <c r="AK12" s="7">
        <v>0</v>
      </c>
      <c r="AL12" s="6"/>
      <c r="AM12" s="7">
        <v>0</v>
      </c>
      <c r="AN12" s="6"/>
      <c r="AO12" s="7">
        <v>0</v>
      </c>
      <c r="AP12" s="6"/>
      <c r="AQ12" s="7">
        <v>0</v>
      </c>
      <c r="AR12" s="6"/>
      <c r="AS12" s="7">
        <v>0</v>
      </c>
      <c r="AT12" s="6"/>
      <c r="AU12" s="7">
        <v>0</v>
      </c>
      <c r="AV12" s="6"/>
      <c r="AW12" s="7">
        <f>ROUND(SUM(G12:AU12),5)</f>
        <v>1479.68</v>
      </c>
    </row>
    <row r="13" spans="1:49">
      <c r="A13" s="4"/>
      <c r="B13" s="4"/>
      <c r="C13" s="4"/>
      <c r="D13" s="4"/>
      <c r="E13" s="4" t="s">
        <v>96</v>
      </c>
      <c r="F13" s="4"/>
      <c r="G13" s="7">
        <v>0</v>
      </c>
      <c r="H13" s="6"/>
      <c r="I13" s="7">
        <v>0</v>
      </c>
      <c r="J13" s="6"/>
      <c r="K13" s="7">
        <v>0</v>
      </c>
      <c r="L13" s="6"/>
      <c r="M13" s="7">
        <v>0</v>
      </c>
      <c r="N13" s="6"/>
      <c r="O13" s="7">
        <v>0</v>
      </c>
      <c r="P13" s="6"/>
      <c r="Q13" s="7">
        <v>0</v>
      </c>
      <c r="R13" s="6"/>
      <c r="S13" s="7">
        <v>0</v>
      </c>
      <c r="T13" s="6"/>
      <c r="U13" s="7">
        <v>0</v>
      </c>
      <c r="V13" s="6"/>
      <c r="W13" s="7">
        <v>0</v>
      </c>
      <c r="X13" s="6"/>
      <c r="Y13" s="7">
        <v>0</v>
      </c>
      <c r="Z13" s="6"/>
      <c r="AA13" s="7">
        <v>0</v>
      </c>
      <c r="AB13" s="6"/>
      <c r="AC13" s="7">
        <v>0</v>
      </c>
      <c r="AD13" s="6"/>
      <c r="AE13" s="7">
        <v>0</v>
      </c>
      <c r="AF13" s="6"/>
      <c r="AG13" s="7">
        <v>0</v>
      </c>
      <c r="AH13" s="6"/>
      <c r="AI13" s="7">
        <v>0</v>
      </c>
      <c r="AJ13" s="6"/>
      <c r="AK13" s="7">
        <v>0</v>
      </c>
      <c r="AL13" s="6"/>
      <c r="AM13" s="7">
        <v>0</v>
      </c>
      <c r="AN13" s="6"/>
      <c r="AO13" s="7">
        <v>0</v>
      </c>
      <c r="AP13" s="6"/>
      <c r="AQ13" s="7">
        <v>0</v>
      </c>
      <c r="AR13" s="6"/>
      <c r="AS13" s="7">
        <v>0</v>
      </c>
      <c r="AT13" s="6"/>
      <c r="AU13" s="7">
        <v>0</v>
      </c>
      <c r="AV13" s="6"/>
      <c r="AW13" s="7">
        <f>ROUND(SUM(G13:AU13),5)</f>
        <v>0</v>
      </c>
    </row>
    <row r="14" spans="1:49">
      <c r="A14" s="4"/>
      <c r="B14" s="4"/>
      <c r="C14" s="4"/>
      <c r="D14" s="4"/>
      <c r="E14" s="4" t="s">
        <v>100</v>
      </c>
      <c r="F14" s="4"/>
      <c r="G14" s="7">
        <v>0</v>
      </c>
      <c r="H14" s="6"/>
      <c r="I14" s="7">
        <v>0</v>
      </c>
      <c r="J14" s="6"/>
      <c r="K14" s="7">
        <v>0</v>
      </c>
      <c r="L14" s="6"/>
      <c r="M14" s="7">
        <v>0</v>
      </c>
      <c r="N14" s="6"/>
      <c r="O14" s="7">
        <v>0</v>
      </c>
      <c r="P14" s="6"/>
      <c r="Q14" s="7">
        <v>0</v>
      </c>
      <c r="R14" s="6"/>
      <c r="S14" s="7">
        <v>0</v>
      </c>
      <c r="T14" s="6"/>
      <c r="U14" s="7">
        <v>0</v>
      </c>
      <c r="V14" s="6"/>
      <c r="W14" s="7">
        <v>0</v>
      </c>
      <c r="X14" s="6"/>
      <c r="Y14" s="7">
        <v>0</v>
      </c>
      <c r="Z14" s="6"/>
      <c r="AA14" s="7">
        <v>0</v>
      </c>
      <c r="AB14" s="6"/>
      <c r="AC14" s="7">
        <v>29277.77</v>
      </c>
      <c r="AD14" s="6"/>
      <c r="AE14" s="7">
        <v>0</v>
      </c>
      <c r="AF14" s="6"/>
      <c r="AG14" s="7">
        <v>0</v>
      </c>
      <c r="AH14" s="6"/>
      <c r="AI14" s="7">
        <v>0</v>
      </c>
      <c r="AJ14" s="6"/>
      <c r="AK14" s="7">
        <v>0</v>
      </c>
      <c r="AL14" s="6"/>
      <c r="AM14" s="7">
        <v>0</v>
      </c>
      <c r="AN14" s="6"/>
      <c r="AO14" s="7">
        <v>0</v>
      </c>
      <c r="AP14" s="6"/>
      <c r="AQ14" s="7">
        <v>0</v>
      </c>
      <c r="AR14" s="6"/>
      <c r="AS14" s="7">
        <v>0</v>
      </c>
      <c r="AT14" s="6"/>
      <c r="AU14" s="7">
        <v>0</v>
      </c>
      <c r="AV14" s="6"/>
      <c r="AW14" s="7">
        <f>ROUND(SUM(G14:AU14),5)</f>
        <v>29277.77</v>
      </c>
    </row>
    <row r="15" spans="1:49">
      <c r="A15" s="4"/>
      <c r="B15" s="4"/>
      <c r="C15" s="4"/>
      <c r="D15" s="4"/>
      <c r="E15" s="4" t="s">
        <v>101</v>
      </c>
      <c r="F15" s="4"/>
      <c r="G15" s="7">
        <v>0</v>
      </c>
      <c r="H15" s="6"/>
      <c r="I15" s="7">
        <v>0</v>
      </c>
      <c r="J15" s="6"/>
      <c r="K15" s="7">
        <v>0</v>
      </c>
      <c r="L15" s="6"/>
      <c r="M15" s="7">
        <v>0</v>
      </c>
      <c r="N15" s="6"/>
      <c r="O15" s="7">
        <v>0</v>
      </c>
      <c r="P15" s="6"/>
      <c r="Q15" s="7">
        <v>0</v>
      </c>
      <c r="R15" s="6"/>
      <c r="S15" s="7">
        <v>0</v>
      </c>
      <c r="T15" s="6"/>
      <c r="U15" s="7">
        <v>0</v>
      </c>
      <c r="V15" s="6"/>
      <c r="W15" s="7">
        <v>0</v>
      </c>
      <c r="X15" s="6"/>
      <c r="Y15" s="7">
        <v>0</v>
      </c>
      <c r="Z15" s="6"/>
      <c r="AA15" s="7">
        <v>0</v>
      </c>
      <c r="AB15" s="6"/>
      <c r="AC15" s="7">
        <v>9494.6</v>
      </c>
      <c r="AD15" s="6"/>
      <c r="AE15" s="7">
        <v>0</v>
      </c>
      <c r="AF15" s="6"/>
      <c r="AG15" s="7">
        <v>0</v>
      </c>
      <c r="AH15" s="6"/>
      <c r="AI15" s="7">
        <v>0</v>
      </c>
      <c r="AJ15" s="6"/>
      <c r="AK15" s="7">
        <v>0</v>
      </c>
      <c r="AL15" s="6"/>
      <c r="AM15" s="7">
        <v>0</v>
      </c>
      <c r="AN15" s="6"/>
      <c r="AO15" s="7">
        <v>0</v>
      </c>
      <c r="AP15" s="6"/>
      <c r="AQ15" s="7">
        <v>0</v>
      </c>
      <c r="AR15" s="6"/>
      <c r="AS15" s="7">
        <v>0</v>
      </c>
      <c r="AT15" s="6"/>
      <c r="AU15" s="7">
        <v>0</v>
      </c>
      <c r="AV15" s="6"/>
      <c r="AW15" s="7">
        <f>ROUND(SUM(G15:AU15),5)</f>
        <v>9494.6</v>
      </c>
    </row>
    <row r="16" spans="1:49">
      <c r="A16" s="4"/>
      <c r="B16" s="4"/>
      <c r="C16" s="4"/>
      <c r="D16" s="4"/>
      <c r="E16" s="4" t="s">
        <v>102</v>
      </c>
      <c r="F16" s="4"/>
      <c r="G16" s="7">
        <v>0</v>
      </c>
      <c r="H16" s="6"/>
      <c r="I16" s="7">
        <v>0</v>
      </c>
      <c r="J16" s="6"/>
      <c r="K16" s="7">
        <v>0</v>
      </c>
      <c r="L16" s="6"/>
      <c r="M16" s="7">
        <v>0</v>
      </c>
      <c r="N16" s="6"/>
      <c r="O16" s="7">
        <v>0</v>
      </c>
      <c r="P16" s="6"/>
      <c r="Q16" s="7">
        <v>0</v>
      </c>
      <c r="R16" s="6"/>
      <c r="S16" s="7">
        <v>0</v>
      </c>
      <c r="T16" s="6"/>
      <c r="U16" s="7">
        <v>0</v>
      </c>
      <c r="V16" s="6"/>
      <c r="W16" s="7">
        <v>0</v>
      </c>
      <c r="X16" s="6"/>
      <c r="Y16" s="7">
        <v>0</v>
      </c>
      <c r="Z16" s="6"/>
      <c r="AA16" s="7">
        <v>0</v>
      </c>
      <c r="AB16" s="6"/>
      <c r="AC16" s="7">
        <v>0</v>
      </c>
      <c r="AD16" s="6"/>
      <c r="AE16" s="7">
        <v>0</v>
      </c>
      <c r="AF16" s="6"/>
      <c r="AG16" s="7">
        <v>0</v>
      </c>
      <c r="AH16" s="6"/>
      <c r="AI16" s="7">
        <v>0</v>
      </c>
      <c r="AJ16" s="6"/>
      <c r="AK16" s="7">
        <v>0</v>
      </c>
      <c r="AL16" s="6"/>
      <c r="AM16" s="7">
        <v>0</v>
      </c>
      <c r="AN16" s="6"/>
      <c r="AO16" s="7">
        <v>0</v>
      </c>
      <c r="AP16" s="6"/>
      <c r="AQ16" s="7">
        <v>0</v>
      </c>
      <c r="AR16" s="6"/>
      <c r="AS16" s="7">
        <v>-368.14</v>
      </c>
      <c r="AT16" s="6"/>
      <c r="AU16" s="7">
        <v>346132.54</v>
      </c>
      <c r="AV16" s="6"/>
      <c r="AW16" s="7">
        <f>ROUND(SUM(G16:AU16),5)</f>
        <v>345764.4</v>
      </c>
    </row>
    <row r="17" spans="1:49">
      <c r="A17" s="4"/>
      <c r="B17" s="4"/>
      <c r="C17" s="4"/>
      <c r="D17" s="4"/>
      <c r="E17" s="4" t="s">
        <v>103</v>
      </c>
      <c r="F17" s="4"/>
      <c r="G17" s="7">
        <v>0</v>
      </c>
      <c r="H17" s="6"/>
      <c r="I17" s="7">
        <v>0</v>
      </c>
      <c r="J17" s="6"/>
      <c r="K17" s="7">
        <v>0</v>
      </c>
      <c r="L17" s="6"/>
      <c r="M17" s="7">
        <v>0</v>
      </c>
      <c r="N17" s="6"/>
      <c r="O17" s="7">
        <v>0</v>
      </c>
      <c r="P17" s="6"/>
      <c r="Q17" s="7">
        <v>0</v>
      </c>
      <c r="R17" s="6"/>
      <c r="S17" s="7">
        <v>0</v>
      </c>
      <c r="T17" s="6"/>
      <c r="U17" s="7">
        <v>0</v>
      </c>
      <c r="V17" s="6"/>
      <c r="W17" s="7">
        <v>0</v>
      </c>
      <c r="X17" s="6"/>
      <c r="Y17" s="7">
        <v>0</v>
      </c>
      <c r="Z17" s="6"/>
      <c r="AA17" s="7">
        <v>0</v>
      </c>
      <c r="AB17" s="6"/>
      <c r="AC17" s="7">
        <v>0</v>
      </c>
      <c r="AD17" s="6"/>
      <c r="AE17" s="7">
        <v>0</v>
      </c>
      <c r="AF17" s="6"/>
      <c r="AG17" s="7">
        <v>0</v>
      </c>
      <c r="AH17" s="6"/>
      <c r="AI17" s="7">
        <v>0</v>
      </c>
      <c r="AJ17" s="6"/>
      <c r="AK17" s="7">
        <v>0</v>
      </c>
      <c r="AL17" s="6"/>
      <c r="AM17" s="7">
        <v>45404.49</v>
      </c>
      <c r="AN17" s="6"/>
      <c r="AO17" s="7">
        <v>0</v>
      </c>
      <c r="AP17" s="6"/>
      <c r="AQ17" s="7">
        <v>0</v>
      </c>
      <c r="AR17" s="6"/>
      <c r="AS17" s="7">
        <v>0</v>
      </c>
      <c r="AT17" s="6"/>
      <c r="AU17" s="7">
        <v>0</v>
      </c>
      <c r="AV17" s="6"/>
      <c r="AW17" s="7">
        <f>ROUND(SUM(G17:AU17),5)</f>
        <v>45404.49</v>
      </c>
    </row>
    <row r="18" spans="1:49">
      <c r="A18" s="4"/>
      <c r="B18" s="4"/>
      <c r="C18" s="4"/>
      <c r="D18" s="4"/>
      <c r="E18" s="4" t="s">
        <v>104</v>
      </c>
      <c r="F18" s="4"/>
      <c r="G18" s="7">
        <v>0</v>
      </c>
      <c r="H18" s="6"/>
      <c r="I18" s="7">
        <v>0</v>
      </c>
      <c r="J18" s="6"/>
      <c r="K18" s="7">
        <v>0</v>
      </c>
      <c r="L18" s="6"/>
      <c r="M18" s="7">
        <v>0</v>
      </c>
      <c r="N18" s="6"/>
      <c r="O18" s="7">
        <v>0</v>
      </c>
      <c r="P18" s="6"/>
      <c r="Q18" s="7">
        <v>0</v>
      </c>
      <c r="R18" s="6"/>
      <c r="S18" s="7">
        <v>0</v>
      </c>
      <c r="T18" s="6"/>
      <c r="U18" s="7">
        <v>0</v>
      </c>
      <c r="V18" s="6"/>
      <c r="W18" s="7">
        <v>0</v>
      </c>
      <c r="X18" s="6"/>
      <c r="Y18" s="7">
        <v>0</v>
      </c>
      <c r="Z18" s="6"/>
      <c r="AA18" s="7">
        <v>0</v>
      </c>
      <c r="AB18" s="6"/>
      <c r="AC18" s="7">
        <v>0</v>
      </c>
      <c r="AD18" s="6"/>
      <c r="AE18" s="7">
        <v>0</v>
      </c>
      <c r="AF18" s="6"/>
      <c r="AG18" s="7">
        <v>0</v>
      </c>
      <c r="AH18" s="6"/>
      <c r="AI18" s="7">
        <v>0</v>
      </c>
      <c r="AJ18" s="6"/>
      <c r="AK18" s="7">
        <v>0</v>
      </c>
      <c r="AL18" s="6"/>
      <c r="AM18" s="7">
        <v>0</v>
      </c>
      <c r="AN18" s="6"/>
      <c r="AO18" s="7">
        <v>0</v>
      </c>
      <c r="AP18" s="6"/>
      <c r="AQ18" s="7">
        <v>0</v>
      </c>
      <c r="AR18" s="6"/>
      <c r="AS18" s="7">
        <v>0</v>
      </c>
      <c r="AT18" s="6"/>
      <c r="AU18" s="7">
        <v>0</v>
      </c>
      <c r="AV18" s="6"/>
      <c r="AW18" s="7">
        <f>ROUND(SUM(G18:AU18),5)</f>
        <v>0</v>
      </c>
    </row>
    <row r="19" spans="1:49">
      <c r="A19" s="4"/>
      <c r="B19" s="4"/>
      <c r="C19" s="4"/>
      <c r="D19" s="4"/>
      <c r="E19" s="4" t="s">
        <v>105</v>
      </c>
      <c r="F19" s="4"/>
      <c r="G19" s="7">
        <v>0</v>
      </c>
      <c r="H19" s="6"/>
      <c r="I19" s="7">
        <v>0</v>
      </c>
      <c r="J19" s="6"/>
      <c r="K19" s="7">
        <v>0</v>
      </c>
      <c r="L19" s="6"/>
      <c r="M19" s="7">
        <v>0</v>
      </c>
      <c r="N19" s="6"/>
      <c r="O19" s="7">
        <v>0</v>
      </c>
      <c r="P19" s="6"/>
      <c r="Q19" s="7">
        <v>0</v>
      </c>
      <c r="R19" s="6"/>
      <c r="S19" s="7">
        <v>0</v>
      </c>
      <c r="T19" s="6"/>
      <c r="U19" s="7">
        <v>0</v>
      </c>
      <c r="V19" s="6"/>
      <c r="W19" s="7">
        <v>0</v>
      </c>
      <c r="X19" s="6"/>
      <c r="Y19" s="7">
        <v>0</v>
      </c>
      <c r="Z19" s="6"/>
      <c r="AA19" s="7">
        <v>0</v>
      </c>
      <c r="AB19" s="6"/>
      <c r="AC19" s="7">
        <v>0</v>
      </c>
      <c r="AD19" s="6"/>
      <c r="AE19" s="7">
        <v>0</v>
      </c>
      <c r="AF19" s="6"/>
      <c r="AG19" s="7">
        <v>0</v>
      </c>
      <c r="AH19" s="6"/>
      <c r="AI19" s="7">
        <v>0</v>
      </c>
      <c r="AJ19" s="6"/>
      <c r="AK19" s="7">
        <v>0</v>
      </c>
      <c r="AL19" s="6"/>
      <c r="AM19" s="7">
        <v>0</v>
      </c>
      <c r="AN19" s="6"/>
      <c r="AO19" s="7">
        <v>0</v>
      </c>
      <c r="AP19" s="6"/>
      <c r="AQ19" s="7">
        <v>0</v>
      </c>
      <c r="AR19" s="6"/>
      <c r="AS19" s="7">
        <v>0</v>
      </c>
      <c r="AT19" s="6"/>
      <c r="AU19" s="7">
        <v>0</v>
      </c>
      <c r="AV19" s="6"/>
      <c r="AW19" s="7">
        <f>ROUND(SUM(G19:AU19),5)</f>
        <v>0</v>
      </c>
    </row>
    <row r="20" spans="1:49" ht="15.75" thickBot="1">
      <c r="A20" s="4"/>
      <c r="B20" s="4"/>
      <c r="C20" s="4"/>
      <c r="D20" s="4"/>
      <c r="E20" s="4" t="s">
        <v>110</v>
      </c>
      <c r="F20" s="4"/>
      <c r="G20" s="7">
        <v>0</v>
      </c>
      <c r="H20" s="6"/>
      <c r="I20" s="7">
        <v>0</v>
      </c>
      <c r="J20" s="6"/>
      <c r="K20" s="7">
        <v>0</v>
      </c>
      <c r="L20" s="6"/>
      <c r="M20" s="7">
        <v>0</v>
      </c>
      <c r="N20" s="6"/>
      <c r="O20" s="7">
        <v>0</v>
      </c>
      <c r="P20" s="6"/>
      <c r="Q20" s="7">
        <v>0</v>
      </c>
      <c r="R20" s="6"/>
      <c r="S20" s="7">
        <v>0</v>
      </c>
      <c r="T20" s="6"/>
      <c r="U20" s="7">
        <v>0</v>
      </c>
      <c r="V20" s="6"/>
      <c r="W20" s="7">
        <v>0</v>
      </c>
      <c r="X20" s="6"/>
      <c r="Y20" s="7">
        <v>335353.36</v>
      </c>
      <c r="Z20" s="6"/>
      <c r="AA20" s="7">
        <v>10850.8</v>
      </c>
      <c r="AB20" s="6"/>
      <c r="AC20" s="7">
        <v>0</v>
      </c>
      <c r="AD20" s="6"/>
      <c r="AE20" s="7">
        <v>0</v>
      </c>
      <c r="AF20" s="6"/>
      <c r="AG20" s="7">
        <v>0</v>
      </c>
      <c r="AH20" s="6"/>
      <c r="AI20" s="7">
        <v>0</v>
      </c>
      <c r="AJ20" s="6"/>
      <c r="AK20" s="7">
        <v>0</v>
      </c>
      <c r="AL20" s="6"/>
      <c r="AM20" s="7">
        <v>0</v>
      </c>
      <c r="AN20" s="6"/>
      <c r="AO20" s="7">
        <v>0</v>
      </c>
      <c r="AP20" s="6"/>
      <c r="AQ20" s="7">
        <v>0</v>
      </c>
      <c r="AR20" s="6"/>
      <c r="AS20" s="7">
        <v>0</v>
      </c>
      <c r="AT20" s="6"/>
      <c r="AU20" s="7">
        <v>0</v>
      </c>
      <c r="AV20" s="6"/>
      <c r="AW20" s="7">
        <f>ROUND(SUM(G20:AU20),5)</f>
        <v>346204.15999999997</v>
      </c>
    </row>
    <row r="21" spans="1:49" ht="15.75" thickBot="1">
      <c r="A21" s="4"/>
      <c r="B21" s="4"/>
      <c r="C21" s="4"/>
      <c r="D21" s="4" t="s">
        <v>112</v>
      </c>
      <c r="E21" s="4"/>
      <c r="F21" s="4"/>
      <c r="G21" s="8">
        <f>ROUND(SUM(G3:G20),5)</f>
        <v>746688.46</v>
      </c>
      <c r="H21" s="6"/>
      <c r="I21" s="8">
        <f>ROUND(SUM(I3:I20),5)</f>
        <v>0</v>
      </c>
      <c r="J21" s="6"/>
      <c r="K21" s="8">
        <f>ROUND(SUM(K3:K20),5)</f>
        <v>191.89</v>
      </c>
      <c r="L21" s="6"/>
      <c r="M21" s="8">
        <f>ROUND(SUM(M3:M20),5)</f>
        <v>0</v>
      </c>
      <c r="N21" s="6"/>
      <c r="O21" s="8">
        <f>ROUND(SUM(O3:O20),5)</f>
        <v>0</v>
      </c>
      <c r="P21" s="6"/>
      <c r="Q21" s="8">
        <f>ROUND(SUM(Q3:Q20),5)</f>
        <v>6339.13</v>
      </c>
      <c r="R21" s="6"/>
      <c r="S21" s="8">
        <f>ROUND(SUM(S3:S20),5)</f>
        <v>0</v>
      </c>
      <c r="T21" s="6"/>
      <c r="U21" s="8">
        <f>ROUND(SUM(U3:U20),5)</f>
        <v>259000</v>
      </c>
      <c r="V21" s="6"/>
      <c r="W21" s="8">
        <f>ROUND(SUM(W3:W20),5)</f>
        <v>750</v>
      </c>
      <c r="X21" s="6"/>
      <c r="Y21" s="8">
        <f>ROUND(SUM(Y3:Y20),5)</f>
        <v>335353.36</v>
      </c>
      <c r="Z21" s="6"/>
      <c r="AA21" s="8">
        <f>ROUND(SUM(AA3:AA20),5)</f>
        <v>10850.8</v>
      </c>
      <c r="AB21" s="6"/>
      <c r="AC21" s="8">
        <f>ROUND(SUM(AC3:AC20),5)</f>
        <v>38772.370000000003</v>
      </c>
      <c r="AD21" s="6"/>
      <c r="AE21" s="8">
        <f>ROUND(SUM(AE3:AE20),5)</f>
        <v>1479.68</v>
      </c>
      <c r="AF21" s="6"/>
      <c r="AG21" s="8">
        <f>ROUND(SUM(AG3:AG20),5)</f>
        <v>0</v>
      </c>
      <c r="AH21" s="6"/>
      <c r="AI21" s="8">
        <f>ROUND(SUM(AI3:AI20),5)</f>
        <v>0</v>
      </c>
      <c r="AJ21" s="6"/>
      <c r="AK21" s="8">
        <f>ROUND(SUM(AK3:AK20),5)</f>
        <v>0</v>
      </c>
      <c r="AL21" s="6"/>
      <c r="AM21" s="8">
        <f>ROUND(SUM(AM3:AM20),5)</f>
        <v>45404.49</v>
      </c>
      <c r="AN21" s="6"/>
      <c r="AO21" s="8">
        <f>ROUND(SUM(AO3:AO20),5)</f>
        <v>0</v>
      </c>
      <c r="AP21" s="6"/>
      <c r="AQ21" s="8">
        <f>ROUND(SUM(AQ3:AQ20),5)</f>
        <v>0</v>
      </c>
      <c r="AR21" s="6"/>
      <c r="AS21" s="8">
        <f>ROUND(SUM(AS3:AS20),5)</f>
        <v>-368.14</v>
      </c>
      <c r="AT21" s="6"/>
      <c r="AU21" s="8">
        <f>ROUND(SUM(AU3:AU20),5)</f>
        <v>346132.54</v>
      </c>
      <c r="AV21" s="6"/>
      <c r="AW21" s="8">
        <f>ROUND(SUM(G21:AU21),5)</f>
        <v>1790594.58</v>
      </c>
    </row>
    <row r="22" spans="1:49">
      <c r="A22" s="4"/>
      <c r="B22" s="4"/>
      <c r="C22" s="4" t="s">
        <v>113</v>
      </c>
      <c r="D22" s="4"/>
      <c r="E22" s="4"/>
      <c r="F22" s="4"/>
      <c r="G22" s="7">
        <f>G21</f>
        <v>746688.46</v>
      </c>
      <c r="H22" s="6"/>
      <c r="I22" s="7">
        <f>I21</f>
        <v>0</v>
      </c>
      <c r="J22" s="6"/>
      <c r="K22" s="7">
        <f>K21</f>
        <v>191.89</v>
      </c>
      <c r="L22" s="6"/>
      <c r="M22" s="7">
        <f>M21</f>
        <v>0</v>
      </c>
      <c r="N22" s="6"/>
      <c r="O22" s="7">
        <f>O21</f>
        <v>0</v>
      </c>
      <c r="P22" s="6"/>
      <c r="Q22" s="7">
        <f>Q21</f>
        <v>6339.13</v>
      </c>
      <c r="R22" s="6"/>
      <c r="S22" s="7">
        <f>S21</f>
        <v>0</v>
      </c>
      <c r="T22" s="6"/>
      <c r="U22" s="7">
        <f>U21</f>
        <v>259000</v>
      </c>
      <c r="V22" s="6"/>
      <c r="W22" s="7">
        <f>W21</f>
        <v>750</v>
      </c>
      <c r="X22" s="6"/>
      <c r="Y22" s="7">
        <f>Y21</f>
        <v>335353.36</v>
      </c>
      <c r="Z22" s="6"/>
      <c r="AA22" s="7">
        <f>AA21</f>
        <v>10850.8</v>
      </c>
      <c r="AB22" s="6"/>
      <c r="AC22" s="7">
        <f>AC21</f>
        <v>38772.370000000003</v>
      </c>
      <c r="AD22" s="6"/>
      <c r="AE22" s="7">
        <f>AE21</f>
        <v>1479.68</v>
      </c>
      <c r="AF22" s="6"/>
      <c r="AG22" s="7">
        <f>AG21</f>
        <v>0</v>
      </c>
      <c r="AH22" s="6"/>
      <c r="AI22" s="7">
        <f>AI21</f>
        <v>0</v>
      </c>
      <c r="AJ22" s="6"/>
      <c r="AK22" s="7">
        <f>AK21</f>
        <v>0</v>
      </c>
      <c r="AL22" s="6"/>
      <c r="AM22" s="7">
        <f>AM21</f>
        <v>45404.49</v>
      </c>
      <c r="AN22" s="6"/>
      <c r="AO22" s="7">
        <f>AO21</f>
        <v>0</v>
      </c>
      <c r="AP22" s="6"/>
      <c r="AQ22" s="7">
        <f>AQ21</f>
        <v>0</v>
      </c>
      <c r="AR22" s="6"/>
      <c r="AS22" s="7">
        <f>AS21</f>
        <v>-368.14</v>
      </c>
      <c r="AT22" s="6"/>
      <c r="AU22" s="7">
        <f>AU21</f>
        <v>346132.54</v>
      </c>
      <c r="AV22" s="6"/>
      <c r="AW22" s="7">
        <f>ROUND(SUM(G22:AU22),5)</f>
        <v>1790594.58</v>
      </c>
    </row>
    <row r="23" spans="1:49">
      <c r="A23" s="4"/>
      <c r="B23" s="4"/>
      <c r="C23" s="4"/>
      <c r="D23" s="4" t="s">
        <v>114</v>
      </c>
      <c r="E23" s="4"/>
      <c r="F23" s="4"/>
      <c r="G23" s="7"/>
      <c r="H23" s="6"/>
      <c r="I23" s="7"/>
      <c r="J23" s="6"/>
      <c r="K23" s="7"/>
      <c r="L23" s="6"/>
      <c r="M23" s="7"/>
      <c r="N23" s="6"/>
      <c r="O23" s="7"/>
      <c r="P23" s="6"/>
      <c r="Q23" s="7"/>
      <c r="R23" s="6"/>
      <c r="S23" s="7"/>
      <c r="T23" s="6"/>
      <c r="U23" s="7"/>
      <c r="V23" s="6"/>
      <c r="W23" s="7"/>
      <c r="X23" s="6"/>
      <c r="Y23" s="7"/>
      <c r="Z23" s="6"/>
      <c r="AA23" s="7"/>
      <c r="AB23" s="6"/>
      <c r="AC23" s="7"/>
      <c r="AD23" s="6"/>
      <c r="AE23" s="7"/>
      <c r="AF23" s="6"/>
      <c r="AG23" s="7"/>
      <c r="AH23" s="6"/>
      <c r="AI23" s="7"/>
      <c r="AJ23" s="6"/>
      <c r="AK23" s="7"/>
      <c r="AL23" s="6"/>
      <c r="AM23" s="7"/>
      <c r="AN23" s="6"/>
      <c r="AO23" s="7"/>
      <c r="AP23" s="6"/>
      <c r="AQ23" s="7"/>
      <c r="AR23" s="6"/>
      <c r="AS23" s="7"/>
      <c r="AT23" s="6"/>
      <c r="AU23" s="7"/>
      <c r="AV23" s="6"/>
      <c r="AW23" s="7"/>
    </row>
    <row r="24" spans="1:49">
      <c r="A24" s="4"/>
      <c r="B24" s="4"/>
      <c r="C24" s="4"/>
      <c r="D24" s="4"/>
      <c r="E24" s="4" t="s">
        <v>116</v>
      </c>
      <c r="F24" s="4"/>
      <c r="G24" s="7">
        <v>335353.36</v>
      </c>
      <c r="H24" s="6"/>
      <c r="I24" s="7">
        <v>10850.8</v>
      </c>
      <c r="J24" s="6"/>
      <c r="K24" s="7">
        <v>0</v>
      </c>
      <c r="L24" s="6"/>
      <c r="M24" s="7">
        <v>0</v>
      </c>
      <c r="N24" s="6"/>
      <c r="O24" s="7">
        <v>0</v>
      </c>
      <c r="P24" s="6"/>
      <c r="Q24" s="7">
        <v>0</v>
      </c>
      <c r="R24" s="6"/>
      <c r="S24" s="7">
        <v>0</v>
      </c>
      <c r="T24" s="6"/>
      <c r="U24" s="7">
        <v>0</v>
      </c>
      <c r="V24" s="6"/>
      <c r="W24" s="7">
        <v>0</v>
      </c>
      <c r="X24" s="6"/>
      <c r="Y24" s="7">
        <v>0</v>
      </c>
      <c r="Z24" s="6"/>
      <c r="AA24" s="7">
        <v>0</v>
      </c>
      <c r="AB24" s="6"/>
      <c r="AC24" s="7">
        <v>0</v>
      </c>
      <c r="AD24" s="6"/>
      <c r="AE24" s="7">
        <v>0</v>
      </c>
      <c r="AF24" s="6"/>
      <c r="AG24" s="7">
        <v>0</v>
      </c>
      <c r="AH24" s="6"/>
      <c r="AI24" s="7">
        <v>0</v>
      </c>
      <c r="AJ24" s="6"/>
      <c r="AK24" s="7">
        <v>0</v>
      </c>
      <c r="AL24" s="6"/>
      <c r="AM24" s="7">
        <v>0</v>
      </c>
      <c r="AN24" s="6"/>
      <c r="AO24" s="7">
        <v>0</v>
      </c>
      <c r="AP24" s="6"/>
      <c r="AQ24" s="7">
        <v>0</v>
      </c>
      <c r="AR24" s="6"/>
      <c r="AS24" s="7">
        <v>0</v>
      </c>
      <c r="AT24" s="6"/>
      <c r="AU24" s="7">
        <v>0</v>
      </c>
      <c r="AV24" s="6"/>
      <c r="AW24" s="7">
        <f>ROUND(SUM(G24:AU24),5)</f>
        <v>346204.15999999997</v>
      </c>
    </row>
    <row r="25" spans="1:49">
      <c r="A25" s="4"/>
      <c r="B25" s="4"/>
      <c r="C25" s="4"/>
      <c r="D25" s="4"/>
      <c r="E25" s="4" t="s">
        <v>117</v>
      </c>
      <c r="F25" s="4"/>
      <c r="G25" s="7"/>
      <c r="H25" s="6"/>
      <c r="I25" s="7"/>
      <c r="J25" s="6"/>
      <c r="K25" s="7"/>
      <c r="L25" s="6"/>
      <c r="M25" s="7"/>
      <c r="N25" s="6"/>
      <c r="O25" s="7"/>
      <c r="P25" s="6"/>
      <c r="Q25" s="7"/>
      <c r="R25" s="6"/>
      <c r="S25" s="7"/>
      <c r="T25" s="6"/>
      <c r="U25" s="7"/>
      <c r="V25" s="6"/>
      <c r="W25" s="7"/>
      <c r="X25" s="6"/>
      <c r="Y25" s="7"/>
      <c r="Z25" s="6"/>
      <c r="AA25" s="7"/>
      <c r="AB25" s="6"/>
      <c r="AC25" s="7"/>
      <c r="AD25" s="6"/>
      <c r="AE25" s="7"/>
      <c r="AF25" s="6"/>
      <c r="AG25" s="7"/>
      <c r="AH25" s="6"/>
      <c r="AI25" s="7"/>
      <c r="AJ25" s="6"/>
      <c r="AK25" s="7"/>
      <c r="AL25" s="6"/>
      <c r="AM25" s="7"/>
      <c r="AN25" s="6"/>
      <c r="AO25" s="7"/>
      <c r="AP25" s="6"/>
      <c r="AQ25" s="7"/>
      <c r="AR25" s="6"/>
      <c r="AS25" s="7"/>
      <c r="AT25" s="6"/>
      <c r="AU25" s="7"/>
      <c r="AV25" s="6"/>
      <c r="AW25" s="7"/>
    </row>
    <row r="26" spans="1:49">
      <c r="A26" s="4"/>
      <c r="B26" s="4"/>
      <c r="C26" s="4"/>
      <c r="D26" s="4"/>
      <c r="E26" s="4"/>
      <c r="F26" s="4" t="s">
        <v>118</v>
      </c>
      <c r="G26" s="7">
        <v>80404.77</v>
      </c>
      <c r="H26" s="6"/>
      <c r="I26" s="7">
        <v>21555.46</v>
      </c>
      <c r="J26" s="6"/>
      <c r="K26" s="7">
        <v>0</v>
      </c>
      <c r="L26" s="6"/>
      <c r="M26" s="7">
        <v>0</v>
      </c>
      <c r="N26" s="6"/>
      <c r="O26" s="7">
        <v>0</v>
      </c>
      <c r="P26" s="6"/>
      <c r="Q26" s="7">
        <v>0</v>
      </c>
      <c r="R26" s="6"/>
      <c r="S26" s="7">
        <v>0</v>
      </c>
      <c r="T26" s="6"/>
      <c r="U26" s="7">
        <v>0</v>
      </c>
      <c r="V26" s="6"/>
      <c r="W26" s="7">
        <v>62750</v>
      </c>
      <c r="X26" s="6"/>
      <c r="Y26" s="7">
        <v>0</v>
      </c>
      <c r="Z26" s="6"/>
      <c r="AA26" s="7">
        <v>0</v>
      </c>
      <c r="AB26" s="6"/>
      <c r="AC26" s="7">
        <v>0</v>
      </c>
      <c r="AD26" s="6"/>
      <c r="AE26" s="7">
        <v>0</v>
      </c>
      <c r="AF26" s="6"/>
      <c r="AG26" s="7">
        <v>12254.29</v>
      </c>
      <c r="AH26" s="6"/>
      <c r="AI26" s="7">
        <v>0</v>
      </c>
      <c r="AJ26" s="6"/>
      <c r="AK26" s="7">
        <v>0</v>
      </c>
      <c r="AL26" s="6"/>
      <c r="AM26" s="7">
        <v>3262.5</v>
      </c>
      <c r="AN26" s="6"/>
      <c r="AO26" s="7">
        <v>0</v>
      </c>
      <c r="AP26" s="6"/>
      <c r="AQ26" s="7">
        <v>0</v>
      </c>
      <c r="AR26" s="6"/>
      <c r="AS26" s="7">
        <v>-368.14</v>
      </c>
      <c r="AT26" s="6"/>
      <c r="AU26" s="7">
        <v>38100.949999999997</v>
      </c>
      <c r="AV26" s="6"/>
      <c r="AW26" s="7">
        <f>ROUND(SUM(G26:AU26),5)</f>
        <v>217959.83</v>
      </c>
    </row>
    <row r="27" spans="1:49">
      <c r="A27" s="4"/>
      <c r="B27" s="4"/>
      <c r="C27" s="4"/>
      <c r="D27" s="4"/>
      <c r="E27" s="4"/>
      <c r="F27" s="4" t="s">
        <v>120</v>
      </c>
      <c r="G27" s="7">
        <v>25398.720000000001</v>
      </c>
      <c r="H27" s="6"/>
      <c r="I27" s="7">
        <v>0</v>
      </c>
      <c r="J27" s="6"/>
      <c r="K27" s="7">
        <v>0</v>
      </c>
      <c r="L27" s="6"/>
      <c r="M27" s="7">
        <v>0</v>
      </c>
      <c r="N27" s="6"/>
      <c r="O27" s="7">
        <v>0</v>
      </c>
      <c r="P27" s="6"/>
      <c r="Q27" s="7">
        <v>0</v>
      </c>
      <c r="R27" s="6"/>
      <c r="S27" s="7">
        <v>0</v>
      </c>
      <c r="T27" s="6"/>
      <c r="U27" s="7">
        <v>0</v>
      </c>
      <c r="V27" s="6"/>
      <c r="W27" s="7">
        <v>0</v>
      </c>
      <c r="X27" s="6"/>
      <c r="Y27" s="7">
        <v>0</v>
      </c>
      <c r="Z27" s="6"/>
      <c r="AA27" s="7">
        <v>0</v>
      </c>
      <c r="AB27" s="6"/>
      <c r="AC27" s="7">
        <v>0</v>
      </c>
      <c r="AD27" s="6"/>
      <c r="AE27" s="7">
        <v>0</v>
      </c>
      <c r="AF27" s="6"/>
      <c r="AG27" s="7">
        <v>0</v>
      </c>
      <c r="AH27" s="6"/>
      <c r="AI27" s="7">
        <v>0</v>
      </c>
      <c r="AJ27" s="6"/>
      <c r="AK27" s="7">
        <v>0</v>
      </c>
      <c r="AL27" s="6"/>
      <c r="AM27" s="7">
        <v>0</v>
      </c>
      <c r="AN27" s="6"/>
      <c r="AO27" s="7">
        <v>0</v>
      </c>
      <c r="AP27" s="6"/>
      <c r="AQ27" s="7">
        <v>0</v>
      </c>
      <c r="AR27" s="6"/>
      <c r="AS27" s="7">
        <v>0</v>
      </c>
      <c r="AT27" s="6"/>
      <c r="AU27" s="7">
        <v>0</v>
      </c>
      <c r="AV27" s="6"/>
      <c r="AW27" s="7">
        <f>ROUND(SUM(G27:AU27),5)</f>
        <v>25398.720000000001</v>
      </c>
    </row>
    <row r="28" spans="1:49">
      <c r="A28" s="4"/>
      <c r="B28" s="4"/>
      <c r="C28" s="4"/>
      <c r="D28" s="4"/>
      <c r="E28" s="4"/>
      <c r="F28" s="4" t="s">
        <v>121</v>
      </c>
      <c r="G28" s="7">
        <v>2475</v>
      </c>
      <c r="H28" s="6"/>
      <c r="I28" s="7">
        <v>0</v>
      </c>
      <c r="J28" s="6"/>
      <c r="K28" s="7">
        <v>0</v>
      </c>
      <c r="L28" s="6"/>
      <c r="M28" s="7">
        <v>0</v>
      </c>
      <c r="N28" s="6"/>
      <c r="O28" s="7">
        <v>2500</v>
      </c>
      <c r="P28" s="6"/>
      <c r="Q28" s="7">
        <v>0</v>
      </c>
      <c r="R28" s="6"/>
      <c r="S28" s="7">
        <v>0</v>
      </c>
      <c r="T28" s="6"/>
      <c r="U28" s="7">
        <v>0</v>
      </c>
      <c r="V28" s="6"/>
      <c r="W28" s="7">
        <v>0</v>
      </c>
      <c r="X28" s="6"/>
      <c r="Y28" s="7">
        <v>0</v>
      </c>
      <c r="Z28" s="6"/>
      <c r="AA28" s="7">
        <v>0</v>
      </c>
      <c r="AB28" s="6"/>
      <c r="AC28" s="7">
        <v>0</v>
      </c>
      <c r="AD28" s="6"/>
      <c r="AE28" s="7">
        <v>0</v>
      </c>
      <c r="AF28" s="6"/>
      <c r="AG28" s="7">
        <v>0</v>
      </c>
      <c r="AH28" s="6"/>
      <c r="AI28" s="7">
        <v>0</v>
      </c>
      <c r="AJ28" s="6"/>
      <c r="AK28" s="7">
        <v>0</v>
      </c>
      <c r="AL28" s="6"/>
      <c r="AM28" s="7">
        <v>0</v>
      </c>
      <c r="AN28" s="6"/>
      <c r="AO28" s="7">
        <v>0</v>
      </c>
      <c r="AP28" s="6"/>
      <c r="AQ28" s="7">
        <v>0</v>
      </c>
      <c r="AR28" s="6"/>
      <c r="AS28" s="7">
        <v>0</v>
      </c>
      <c r="AT28" s="6"/>
      <c r="AU28" s="7">
        <v>0</v>
      </c>
      <c r="AV28" s="6"/>
      <c r="AW28" s="7">
        <f>ROUND(SUM(G28:AU28),5)</f>
        <v>4975</v>
      </c>
    </row>
    <row r="29" spans="1:49">
      <c r="A29" s="4"/>
      <c r="B29" s="4"/>
      <c r="C29" s="4"/>
      <c r="D29" s="4"/>
      <c r="E29" s="4"/>
      <c r="F29" s="4" t="s">
        <v>122</v>
      </c>
      <c r="G29" s="7">
        <v>105</v>
      </c>
      <c r="H29" s="6"/>
      <c r="I29" s="7">
        <v>0</v>
      </c>
      <c r="J29" s="6"/>
      <c r="K29" s="7">
        <v>0</v>
      </c>
      <c r="L29" s="6"/>
      <c r="M29" s="7">
        <v>0</v>
      </c>
      <c r="N29" s="6"/>
      <c r="O29" s="7">
        <v>0</v>
      </c>
      <c r="P29" s="6"/>
      <c r="Q29" s="7">
        <v>0</v>
      </c>
      <c r="R29" s="6"/>
      <c r="S29" s="7">
        <v>0</v>
      </c>
      <c r="T29" s="6"/>
      <c r="U29" s="7">
        <v>0</v>
      </c>
      <c r="V29" s="6"/>
      <c r="W29" s="7">
        <v>0</v>
      </c>
      <c r="X29" s="6"/>
      <c r="Y29" s="7">
        <v>0</v>
      </c>
      <c r="Z29" s="6"/>
      <c r="AA29" s="7">
        <v>0</v>
      </c>
      <c r="AB29" s="6"/>
      <c r="AC29" s="7">
        <v>0</v>
      </c>
      <c r="AD29" s="6"/>
      <c r="AE29" s="7">
        <v>0</v>
      </c>
      <c r="AF29" s="6"/>
      <c r="AG29" s="7">
        <v>0</v>
      </c>
      <c r="AH29" s="6"/>
      <c r="AI29" s="7">
        <v>0</v>
      </c>
      <c r="AJ29" s="6"/>
      <c r="AK29" s="7">
        <v>0</v>
      </c>
      <c r="AL29" s="6"/>
      <c r="AM29" s="7">
        <v>0</v>
      </c>
      <c r="AN29" s="6"/>
      <c r="AO29" s="7">
        <v>0</v>
      </c>
      <c r="AP29" s="6"/>
      <c r="AQ29" s="7">
        <v>0</v>
      </c>
      <c r="AR29" s="6"/>
      <c r="AS29" s="7">
        <v>0</v>
      </c>
      <c r="AT29" s="6"/>
      <c r="AU29" s="7">
        <v>0</v>
      </c>
      <c r="AV29" s="6"/>
      <c r="AW29" s="7">
        <f>ROUND(SUM(G29:AU29),5)</f>
        <v>105</v>
      </c>
    </row>
    <row r="30" spans="1:49">
      <c r="A30" s="4"/>
      <c r="B30" s="4"/>
      <c r="C30" s="4"/>
      <c r="D30" s="4"/>
      <c r="E30" s="4"/>
      <c r="F30" s="4" t="s">
        <v>123</v>
      </c>
      <c r="G30" s="7">
        <v>1825</v>
      </c>
      <c r="H30" s="6"/>
      <c r="I30" s="7">
        <v>480</v>
      </c>
      <c r="J30" s="6"/>
      <c r="K30" s="7">
        <v>0</v>
      </c>
      <c r="L30" s="6"/>
      <c r="M30" s="7">
        <v>0</v>
      </c>
      <c r="N30" s="6"/>
      <c r="O30" s="7">
        <v>0</v>
      </c>
      <c r="P30" s="6"/>
      <c r="Q30" s="7">
        <v>0</v>
      </c>
      <c r="R30" s="6"/>
      <c r="S30" s="7">
        <v>0</v>
      </c>
      <c r="T30" s="6"/>
      <c r="U30" s="7">
        <v>0</v>
      </c>
      <c r="V30" s="6"/>
      <c r="W30" s="7">
        <v>0</v>
      </c>
      <c r="X30" s="6"/>
      <c r="Y30" s="7">
        <v>0</v>
      </c>
      <c r="Z30" s="6"/>
      <c r="AA30" s="7">
        <v>0</v>
      </c>
      <c r="AB30" s="6"/>
      <c r="AC30" s="7">
        <v>0</v>
      </c>
      <c r="AD30" s="6"/>
      <c r="AE30" s="7">
        <v>0</v>
      </c>
      <c r="AF30" s="6"/>
      <c r="AG30" s="7">
        <v>0</v>
      </c>
      <c r="AH30" s="6"/>
      <c r="AI30" s="7">
        <v>0</v>
      </c>
      <c r="AJ30" s="6"/>
      <c r="AK30" s="7">
        <v>0</v>
      </c>
      <c r="AL30" s="6"/>
      <c r="AM30" s="7">
        <v>0</v>
      </c>
      <c r="AN30" s="6"/>
      <c r="AO30" s="7">
        <v>0</v>
      </c>
      <c r="AP30" s="6"/>
      <c r="AQ30" s="7">
        <v>0</v>
      </c>
      <c r="AR30" s="6"/>
      <c r="AS30" s="7">
        <v>0</v>
      </c>
      <c r="AT30" s="6"/>
      <c r="AU30" s="7">
        <v>0</v>
      </c>
      <c r="AV30" s="6"/>
      <c r="AW30" s="7">
        <f>ROUND(SUM(G30:AU30),5)</f>
        <v>2305</v>
      </c>
    </row>
    <row r="31" spans="1:49">
      <c r="A31" s="4"/>
      <c r="B31" s="4"/>
      <c r="C31" s="4"/>
      <c r="D31" s="4"/>
      <c r="E31" s="4"/>
      <c r="F31" s="4" t="s">
        <v>124</v>
      </c>
      <c r="G31" s="7">
        <v>3509.98</v>
      </c>
      <c r="H31" s="6"/>
      <c r="I31" s="7">
        <v>0</v>
      </c>
      <c r="J31" s="6"/>
      <c r="K31" s="7">
        <v>0</v>
      </c>
      <c r="L31" s="6"/>
      <c r="M31" s="7">
        <v>0</v>
      </c>
      <c r="N31" s="6"/>
      <c r="O31" s="7">
        <v>0</v>
      </c>
      <c r="P31" s="6"/>
      <c r="Q31" s="7">
        <v>0</v>
      </c>
      <c r="R31" s="6"/>
      <c r="S31" s="7">
        <v>0</v>
      </c>
      <c r="T31" s="6"/>
      <c r="U31" s="7">
        <v>0</v>
      </c>
      <c r="V31" s="6"/>
      <c r="W31" s="7">
        <v>0</v>
      </c>
      <c r="X31" s="6"/>
      <c r="Y31" s="7">
        <v>0</v>
      </c>
      <c r="Z31" s="6"/>
      <c r="AA31" s="7">
        <v>0</v>
      </c>
      <c r="AB31" s="6"/>
      <c r="AC31" s="7">
        <v>0</v>
      </c>
      <c r="AD31" s="6"/>
      <c r="AE31" s="7">
        <v>0</v>
      </c>
      <c r="AF31" s="6"/>
      <c r="AG31" s="7">
        <v>0</v>
      </c>
      <c r="AH31" s="6"/>
      <c r="AI31" s="7">
        <v>0</v>
      </c>
      <c r="AJ31" s="6"/>
      <c r="AK31" s="7">
        <v>0</v>
      </c>
      <c r="AL31" s="6"/>
      <c r="AM31" s="7">
        <v>0</v>
      </c>
      <c r="AN31" s="6"/>
      <c r="AO31" s="7">
        <v>0</v>
      </c>
      <c r="AP31" s="6"/>
      <c r="AQ31" s="7">
        <v>0</v>
      </c>
      <c r="AR31" s="6"/>
      <c r="AS31" s="7">
        <v>0</v>
      </c>
      <c r="AT31" s="6"/>
      <c r="AU31" s="7">
        <v>0</v>
      </c>
      <c r="AV31" s="6"/>
      <c r="AW31" s="7">
        <f>ROUND(SUM(G31:AU31),5)</f>
        <v>3509.98</v>
      </c>
    </row>
    <row r="32" spans="1:49">
      <c r="A32" s="4"/>
      <c r="B32" s="4"/>
      <c r="C32" s="4"/>
      <c r="D32" s="4"/>
      <c r="E32" s="4"/>
      <c r="F32" s="4" t="s">
        <v>125</v>
      </c>
      <c r="G32" s="7">
        <v>10179.02</v>
      </c>
      <c r="H32" s="6"/>
      <c r="I32" s="7">
        <v>1620.48</v>
      </c>
      <c r="J32" s="6"/>
      <c r="K32" s="7">
        <v>0</v>
      </c>
      <c r="L32" s="6"/>
      <c r="M32" s="7">
        <v>0</v>
      </c>
      <c r="N32" s="6"/>
      <c r="O32" s="7">
        <v>0</v>
      </c>
      <c r="P32" s="6"/>
      <c r="Q32" s="7">
        <v>0</v>
      </c>
      <c r="R32" s="6"/>
      <c r="S32" s="7">
        <v>0</v>
      </c>
      <c r="T32" s="6"/>
      <c r="U32" s="7">
        <v>0</v>
      </c>
      <c r="V32" s="6"/>
      <c r="W32" s="7">
        <v>0</v>
      </c>
      <c r="X32" s="6"/>
      <c r="Y32" s="7">
        <v>0</v>
      </c>
      <c r="Z32" s="6"/>
      <c r="AA32" s="7">
        <v>0</v>
      </c>
      <c r="AB32" s="6"/>
      <c r="AC32" s="7">
        <v>0</v>
      </c>
      <c r="AD32" s="6"/>
      <c r="AE32" s="7">
        <v>0</v>
      </c>
      <c r="AF32" s="6"/>
      <c r="AG32" s="7">
        <v>0</v>
      </c>
      <c r="AH32" s="6"/>
      <c r="AI32" s="7">
        <v>0</v>
      </c>
      <c r="AJ32" s="6"/>
      <c r="AK32" s="7">
        <v>0</v>
      </c>
      <c r="AL32" s="6"/>
      <c r="AM32" s="7">
        <v>0</v>
      </c>
      <c r="AN32" s="6"/>
      <c r="AO32" s="7">
        <v>0</v>
      </c>
      <c r="AP32" s="6"/>
      <c r="AQ32" s="7">
        <v>0</v>
      </c>
      <c r="AR32" s="6"/>
      <c r="AS32" s="7">
        <v>0</v>
      </c>
      <c r="AT32" s="6"/>
      <c r="AU32" s="7">
        <v>2914.78</v>
      </c>
      <c r="AV32" s="6"/>
      <c r="AW32" s="7">
        <f>ROUND(SUM(G32:AU32),5)</f>
        <v>14714.28</v>
      </c>
    </row>
    <row r="33" spans="1:49">
      <c r="A33" s="4"/>
      <c r="B33" s="4"/>
      <c r="C33" s="4"/>
      <c r="D33" s="4"/>
      <c r="E33" s="4"/>
      <c r="F33" s="4" t="s">
        <v>126</v>
      </c>
      <c r="G33" s="7">
        <v>31139.91</v>
      </c>
      <c r="H33" s="6"/>
      <c r="I33" s="7">
        <v>0</v>
      </c>
      <c r="J33" s="6"/>
      <c r="K33" s="7">
        <v>0</v>
      </c>
      <c r="L33" s="6"/>
      <c r="M33" s="7">
        <v>0</v>
      </c>
      <c r="N33" s="6"/>
      <c r="O33" s="7">
        <v>0</v>
      </c>
      <c r="P33" s="6"/>
      <c r="Q33" s="7">
        <v>0</v>
      </c>
      <c r="R33" s="6"/>
      <c r="S33" s="7">
        <v>0</v>
      </c>
      <c r="T33" s="6"/>
      <c r="U33" s="7">
        <v>0</v>
      </c>
      <c r="V33" s="6"/>
      <c r="W33" s="7">
        <v>0</v>
      </c>
      <c r="X33" s="6"/>
      <c r="Y33" s="7">
        <v>0</v>
      </c>
      <c r="Z33" s="6"/>
      <c r="AA33" s="7">
        <v>0</v>
      </c>
      <c r="AB33" s="6"/>
      <c r="AC33" s="7">
        <v>0</v>
      </c>
      <c r="AD33" s="6"/>
      <c r="AE33" s="7">
        <v>0</v>
      </c>
      <c r="AF33" s="6"/>
      <c r="AG33" s="7">
        <v>0</v>
      </c>
      <c r="AH33" s="6"/>
      <c r="AI33" s="7">
        <v>0</v>
      </c>
      <c r="AJ33" s="6"/>
      <c r="AK33" s="7">
        <v>0</v>
      </c>
      <c r="AL33" s="6"/>
      <c r="AM33" s="7">
        <v>0</v>
      </c>
      <c r="AN33" s="6"/>
      <c r="AO33" s="7">
        <v>0</v>
      </c>
      <c r="AP33" s="6"/>
      <c r="AQ33" s="7">
        <v>0</v>
      </c>
      <c r="AR33" s="6"/>
      <c r="AS33" s="7">
        <v>0</v>
      </c>
      <c r="AT33" s="6"/>
      <c r="AU33" s="7">
        <v>0</v>
      </c>
      <c r="AV33" s="6"/>
      <c r="AW33" s="7">
        <f>ROUND(SUM(G33:AU33),5)</f>
        <v>31139.91</v>
      </c>
    </row>
    <row r="34" spans="1:49">
      <c r="A34" s="4"/>
      <c r="B34" s="4"/>
      <c r="C34" s="4"/>
      <c r="D34" s="4"/>
      <c r="E34" s="4"/>
      <c r="F34" s="4" t="s">
        <v>127</v>
      </c>
      <c r="G34" s="7">
        <v>386.77</v>
      </c>
      <c r="H34" s="6"/>
      <c r="I34" s="7">
        <v>335.69</v>
      </c>
      <c r="J34" s="6"/>
      <c r="K34" s="7">
        <v>0</v>
      </c>
      <c r="L34" s="6"/>
      <c r="M34" s="7">
        <v>0</v>
      </c>
      <c r="N34" s="6"/>
      <c r="O34" s="7">
        <v>0</v>
      </c>
      <c r="P34" s="6"/>
      <c r="Q34" s="7">
        <v>0</v>
      </c>
      <c r="R34" s="6"/>
      <c r="S34" s="7">
        <v>0</v>
      </c>
      <c r="T34" s="6"/>
      <c r="U34" s="7">
        <v>0</v>
      </c>
      <c r="V34" s="6"/>
      <c r="W34" s="7">
        <v>0</v>
      </c>
      <c r="X34" s="6"/>
      <c r="Y34" s="7">
        <v>0</v>
      </c>
      <c r="Z34" s="6"/>
      <c r="AA34" s="7">
        <v>0</v>
      </c>
      <c r="AB34" s="6"/>
      <c r="AC34" s="7">
        <v>0</v>
      </c>
      <c r="AD34" s="6"/>
      <c r="AE34" s="7">
        <v>0</v>
      </c>
      <c r="AF34" s="6"/>
      <c r="AG34" s="7">
        <v>0</v>
      </c>
      <c r="AH34" s="6"/>
      <c r="AI34" s="7">
        <v>0</v>
      </c>
      <c r="AJ34" s="6"/>
      <c r="AK34" s="7">
        <v>0</v>
      </c>
      <c r="AL34" s="6"/>
      <c r="AM34" s="7">
        <v>0</v>
      </c>
      <c r="AN34" s="6"/>
      <c r="AO34" s="7">
        <v>0</v>
      </c>
      <c r="AP34" s="6"/>
      <c r="AQ34" s="7">
        <v>0</v>
      </c>
      <c r="AR34" s="6"/>
      <c r="AS34" s="7">
        <v>0</v>
      </c>
      <c r="AT34" s="6"/>
      <c r="AU34" s="7">
        <v>0</v>
      </c>
      <c r="AV34" s="6"/>
      <c r="AW34" s="7">
        <f>ROUND(SUM(G34:AU34),5)</f>
        <v>722.46</v>
      </c>
    </row>
    <row r="35" spans="1:49">
      <c r="A35" s="4"/>
      <c r="B35" s="4"/>
      <c r="C35" s="4"/>
      <c r="D35" s="4"/>
      <c r="E35" s="4"/>
      <c r="F35" s="4" t="s">
        <v>128</v>
      </c>
      <c r="G35" s="7">
        <v>3437.49</v>
      </c>
      <c r="H35" s="6"/>
      <c r="I35" s="7">
        <v>0</v>
      </c>
      <c r="J35" s="6"/>
      <c r="K35" s="7">
        <v>0</v>
      </c>
      <c r="L35" s="6"/>
      <c r="M35" s="7">
        <v>0</v>
      </c>
      <c r="N35" s="6"/>
      <c r="O35" s="7">
        <v>0</v>
      </c>
      <c r="P35" s="6"/>
      <c r="Q35" s="7">
        <v>0</v>
      </c>
      <c r="R35" s="6"/>
      <c r="S35" s="7">
        <v>0</v>
      </c>
      <c r="T35" s="6"/>
      <c r="U35" s="7">
        <v>0</v>
      </c>
      <c r="V35" s="6"/>
      <c r="W35" s="7">
        <v>0</v>
      </c>
      <c r="X35" s="6"/>
      <c r="Y35" s="7">
        <v>0</v>
      </c>
      <c r="Z35" s="6"/>
      <c r="AA35" s="7">
        <v>0</v>
      </c>
      <c r="AB35" s="6"/>
      <c r="AC35" s="7">
        <v>0</v>
      </c>
      <c r="AD35" s="6"/>
      <c r="AE35" s="7">
        <v>0</v>
      </c>
      <c r="AF35" s="6"/>
      <c r="AG35" s="7">
        <v>0</v>
      </c>
      <c r="AH35" s="6"/>
      <c r="AI35" s="7">
        <v>0</v>
      </c>
      <c r="AJ35" s="6"/>
      <c r="AK35" s="7">
        <v>0</v>
      </c>
      <c r="AL35" s="6"/>
      <c r="AM35" s="7">
        <v>0</v>
      </c>
      <c r="AN35" s="6"/>
      <c r="AO35" s="7">
        <v>0</v>
      </c>
      <c r="AP35" s="6"/>
      <c r="AQ35" s="7">
        <v>0</v>
      </c>
      <c r="AR35" s="6"/>
      <c r="AS35" s="7">
        <v>0</v>
      </c>
      <c r="AT35" s="6"/>
      <c r="AU35" s="7">
        <v>0</v>
      </c>
      <c r="AV35" s="6"/>
      <c r="AW35" s="7">
        <f>ROUND(SUM(G35:AU35),5)</f>
        <v>3437.49</v>
      </c>
    </row>
    <row r="36" spans="1:49">
      <c r="A36" s="4"/>
      <c r="B36" s="4"/>
      <c r="C36" s="4"/>
      <c r="D36" s="4"/>
      <c r="E36" s="4"/>
      <c r="F36" s="4" t="s">
        <v>129</v>
      </c>
      <c r="G36" s="7">
        <v>713.71</v>
      </c>
      <c r="H36" s="6"/>
      <c r="I36" s="7">
        <v>0</v>
      </c>
      <c r="J36" s="6"/>
      <c r="K36" s="7">
        <v>0</v>
      </c>
      <c r="L36" s="6"/>
      <c r="M36" s="7">
        <v>0</v>
      </c>
      <c r="N36" s="6"/>
      <c r="O36" s="7">
        <v>0</v>
      </c>
      <c r="P36" s="6"/>
      <c r="Q36" s="7">
        <v>0</v>
      </c>
      <c r="R36" s="6"/>
      <c r="S36" s="7">
        <v>0</v>
      </c>
      <c r="T36" s="6"/>
      <c r="U36" s="7">
        <v>0</v>
      </c>
      <c r="V36" s="6"/>
      <c r="W36" s="7">
        <v>0</v>
      </c>
      <c r="X36" s="6"/>
      <c r="Y36" s="7">
        <v>0</v>
      </c>
      <c r="Z36" s="6"/>
      <c r="AA36" s="7">
        <v>0</v>
      </c>
      <c r="AB36" s="6"/>
      <c r="AC36" s="7">
        <v>0</v>
      </c>
      <c r="AD36" s="6"/>
      <c r="AE36" s="7">
        <v>0</v>
      </c>
      <c r="AF36" s="6"/>
      <c r="AG36" s="7">
        <v>0</v>
      </c>
      <c r="AH36" s="6"/>
      <c r="AI36" s="7">
        <v>0</v>
      </c>
      <c r="AJ36" s="6"/>
      <c r="AK36" s="7">
        <v>0</v>
      </c>
      <c r="AL36" s="6"/>
      <c r="AM36" s="7">
        <v>0</v>
      </c>
      <c r="AN36" s="6"/>
      <c r="AO36" s="7">
        <v>0</v>
      </c>
      <c r="AP36" s="6"/>
      <c r="AQ36" s="7">
        <v>0</v>
      </c>
      <c r="AR36" s="6"/>
      <c r="AS36" s="7">
        <v>0</v>
      </c>
      <c r="AT36" s="6"/>
      <c r="AU36" s="7">
        <v>0</v>
      </c>
      <c r="AV36" s="6"/>
      <c r="AW36" s="7">
        <f>ROUND(SUM(G36:AU36),5)</f>
        <v>713.71</v>
      </c>
    </row>
    <row r="37" spans="1:49">
      <c r="A37" s="4"/>
      <c r="B37" s="4"/>
      <c r="C37" s="4"/>
      <c r="D37" s="4"/>
      <c r="E37" s="4"/>
      <c r="F37" s="4" t="s">
        <v>130</v>
      </c>
      <c r="G37" s="7">
        <v>30115.51</v>
      </c>
      <c r="H37" s="6"/>
      <c r="I37" s="7">
        <v>363.8</v>
      </c>
      <c r="J37" s="6"/>
      <c r="K37" s="7">
        <v>0</v>
      </c>
      <c r="L37" s="6"/>
      <c r="M37" s="7">
        <v>2664.95</v>
      </c>
      <c r="N37" s="6"/>
      <c r="O37" s="7">
        <v>0</v>
      </c>
      <c r="P37" s="6"/>
      <c r="Q37" s="7">
        <v>0</v>
      </c>
      <c r="R37" s="6"/>
      <c r="S37" s="7">
        <v>0</v>
      </c>
      <c r="T37" s="6"/>
      <c r="U37" s="7">
        <v>0</v>
      </c>
      <c r="V37" s="6"/>
      <c r="W37" s="7">
        <v>0</v>
      </c>
      <c r="X37" s="6"/>
      <c r="Y37" s="7">
        <v>0</v>
      </c>
      <c r="Z37" s="6"/>
      <c r="AA37" s="7">
        <v>0</v>
      </c>
      <c r="AB37" s="6"/>
      <c r="AC37" s="7">
        <v>0</v>
      </c>
      <c r="AD37" s="6"/>
      <c r="AE37" s="7">
        <v>0</v>
      </c>
      <c r="AF37" s="6"/>
      <c r="AG37" s="7">
        <v>0</v>
      </c>
      <c r="AH37" s="6"/>
      <c r="AI37" s="7">
        <v>0</v>
      </c>
      <c r="AJ37" s="6"/>
      <c r="AK37" s="7">
        <v>0</v>
      </c>
      <c r="AL37" s="6"/>
      <c r="AM37" s="7">
        <v>0</v>
      </c>
      <c r="AN37" s="6"/>
      <c r="AO37" s="7">
        <v>0</v>
      </c>
      <c r="AP37" s="6"/>
      <c r="AQ37" s="7">
        <v>0</v>
      </c>
      <c r="AR37" s="6"/>
      <c r="AS37" s="7">
        <v>0</v>
      </c>
      <c r="AT37" s="6"/>
      <c r="AU37" s="7">
        <v>0</v>
      </c>
      <c r="AV37" s="6"/>
      <c r="AW37" s="7">
        <f>ROUND(SUM(G37:AU37),5)</f>
        <v>33144.26</v>
      </c>
    </row>
    <row r="38" spans="1:49">
      <c r="A38" s="4"/>
      <c r="B38" s="4"/>
      <c r="C38" s="4"/>
      <c r="D38" s="4"/>
      <c r="E38" s="4"/>
      <c r="F38" s="4" t="s">
        <v>131</v>
      </c>
      <c r="G38" s="7">
        <v>2025</v>
      </c>
      <c r="H38" s="6"/>
      <c r="I38" s="7">
        <v>0</v>
      </c>
      <c r="J38" s="6"/>
      <c r="K38" s="7">
        <v>0</v>
      </c>
      <c r="L38" s="6"/>
      <c r="M38" s="7">
        <v>0</v>
      </c>
      <c r="N38" s="6"/>
      <c r="O38" s="7">
        <v>0</v>
      </c>
      <c r="P38" s="6"/>
      <c r="Q38" s="7">
        <v>0</v>
      </c>
      <c r="R38" s="6"/>
      <c r="S38" s="7">
        <v>0</v>
      </c>
      <c r="T38" s="6"/>
      <c r="U38" s="7">
        <v>0</v>
      </c>
      <c r="V38" s="6"/>
      <c r="W38" s="7">
        <v>0</v>
      </c>
      <c r="X38" s="6"/>
      <c r="Y38" s="7">
        <v>0</v>
      </c>
      <c r="Z38" s="6"/>
      <c r="AA38" s="7">
        <v>0</v>
      </c>
      <c r="AB38" s="6"/>
      <c r="AC38" s="7">
        <v>0</v>
      </c>
      <c r="AD38" s="6"/>
      <c r="AE38" s="7">
        <v>0</v>
      </c>
      <c r="AF38" s="6"/>
      <c r="AG38" s="7">
        <v>0</v>
      </c>
      <c r="AH38" s="6"/>
      <c r="AI38" s="7">
        <v>0</v>
      </c>
      <c r="AJ38" s="6"/>
      <c r="AK38" s="7">
        <v>0</v>
      </c>
      <c r="AL38" s="6"/>
      <c r="AM38" s="7">
        <v>0</v>
      </c>
      <c r="AN38" s="6"/>
      <c r="AO38" s="7">
        <v>0</v>
      </c>
      <c r="AP38" s="6"/>
      <c r="AQ38" s="7">
        <v>0</v>
      </c>
      <c r="AR38" s="6"/>
      <c r="AS38" s="7">
        <v>0</v>
      </c>
      <c r="AT38" s="6"/>
      <c r="AU38" s="7">
        <v>0</v>
      </c>
      <c r="AV38" s="6"/>
      <c r="AW38" s="7">
        <f>ROUND(SUM(G38:AU38),5)</f>
        <v>2025</v>
      </c>
    </row>
    <row r="39" spans="1:49">
      <c r="A39" s="4"/>
      <c r="B39" s="4"/>
      <c r="C39" s="4"/>
      <c r="D39" s="4"/>
      <c r="E39" s="4"/>
      <c r="F39" s="4" t="s">
        <v>133</v>
      </c>
      <c r="G39" s="7">
        <v>0</v>
      </c>
      <c r="H39" s="6"/>
      <c r="I39" s="7">
        <v>0</v>
      </c>
      <c r="J39" s="6"/>
      <c r="K39" s="7">
        <v>0</v>
      </c>
      <c r="L39" s="6"/>
      <c r="M39" s="7">
        <v>0</v>
      </c>
      <c r="N39" s="6"/>
      <c r="O39" s="7">
        <v>0</v>
      </c>
      <c r="P39" s="6"/>
      <c r="Q39" s="7">
        <v>3686.17</v>
      </c>
      <c r="R39" s="6"/>
      <c r="S39" s="7">
        <v>0</v>
      </c>
      <c r="T39" s="6"/>
      <c r="U39" s="7">
        <v>0</v>
      </c>
      <c r="V39" s="6"/>
      <c r="W39" s="7">
        <v>0</v>
      </c>
      <c r="X39" s="6"/>
      <c r="Y39" s="7">
        <v>0</v>
      </c>
      <c r="Z39" s="6"/>
      <c r="AA39" s="7">
        <v>0</v>
      </c>
      <c r="AB39" s="6"/>
      <c r="AC39" s="7">
        <v>0</v>
      </c>
      <c r="AD39" s="6"/>
      <c r="AE39" s="7">
        <v>0</v>
      </c>
      <c r="AF39" s="6"/>
      <c r="AG39" s="7">
        <v>0</v>
      </c>
      <c r="AH39" s="6"/>
      <c r="AI39" s="7">
        <v>0</v>
      </c>
      <c r="AJ39" s="6"/>
      <c r="AK39" s="7">
        <v>0</v>
      </c>
      <c r="AL39" s="6"/>
      <c r="AM39" s="7">
        <v>0</v>
      </c>
      <c r="AN39" s="6"/>
      <c r="AO39" s="7">
        <v>0</v>
      </c>
      <c r="AP39" s="6"/>
      <c r="AQ39" s="7">
        <v>0</v>
      </c>
      <c r="AR39" s="6"/>
      <c r="AS39" s="7">
        <v>0</v>
      </c>
      <c r="AT39" s="6"/>
      <c r="AU39" s="7">
        <v>0</v>
      </c>
      <c r="AV39" s="6"/>
      <c r="AW39" s="7">
        <f>ROUND(SUM(G39:AU39),5)</f>
        <v>3686.17</v>
      </c>
    </row>
    <row r="40" spans="1:49">
      <c r="A40" s="4"/>
      <c r="B40" s="4"/>
      <c r="C40" s="4"/>
      <c r="D40" s="4"/>
      <c r="E40" s="4"/>
      <c r="F40" s="4" t="s">
        <v>134</v>
      </c>
      <c r="G40" s="7">
        <v>0</v>
      </c>
      <c r="H40" s="6"/>
      <c r="I40" s="7">
        <v>0</v>
      </c>
      <c r="J40" s="6"/>
      <c r="K40" s="7">
        <v>168</v>
      </c>
      <c r="L40" s="6"/>
      <c r="M40" s="7">
        <v>0</v>
      </c>
      <c r="N40" s="6"/>
      <c r="O40" s="7">
        <v>0</v>
      </c>
      <c r="P40" s="6"/>
      <c r="Q40" s="7">
        <v>0</v>
      </c>
      <c r="R40" s="6"/>
      <c r="S40" s="7">
        <v>0</v>
      </c>
      <c r="T40" s="6"/>
      <c r="U40" s="7">
        <v>0</v>
      </c>
      <c r="V40" s="6"/>
      <c r="W40" s="7">
        <v>0</v>
      </c>
      <c r="X40" s="6"/>
      <c r="Y40" s="7">
        <v>0</v>
      </c>
      <c r="Z40" s="6"/>
      <c r="AA40" s="7">
        <v>0</v>
      </c>
      <c r="AB40" s="6"/>
      <c r="AC40" s="7">
        <v>0</v>
      </c>
      <c r="AD40" s="6"/>
      <c r="AE40" s="7">
        <v>0</v>
      </c>
      <c r="AF40" s="6"/>
      <c r="AG40" s="7">
        <v>0</v>
      </c>
      <c r="AH40" s="6"/>
      <c r="AI40" s="7">
        <v>0</v>
      </c>
      <c r="AJ40" s="6"/>
      <c r="AK40" s="7">
        <v>0</v>
      </c>
      <c r="AL40" s="6"/>
      <c r="AM40" s="7">
        <v>0</v>
      </c>
      <c r="AN40" s="6"/>
      <c r="AO40" s="7">
        <v>0</v>
      </c>
      <c r="AP40" s="6"/>
      <c r="AQ40" s="7">
        <v>0</v>
      </c>
      <c r="AR40" s="6"/>
      <c r="AS40" s="7">
        <v>0</v>
      </c>
      <c r="AT40" s="6"/>
      <c r="AU40" s="7">
        <v>0</v>
      </c>
      <c r="AV40" s="6"/>
      <c r="AW40" s="7">
        <f>ROUND(SUM(G40:AU40),5)</f>
        <v>168</v>
      </c>
    </row>
    <row r="41" spans="1:49">
      <c r="A41" s="4"/>
      <c r="B41" s="4"/>
      <c r="C41" s="4"/>
      <c r="D41" s="4"/>
      <c r="E41" s="4"/>
      <c r="F41" s="4" t="s">
        <v>135</v>
      </c>
      <c r="G41" s="7">
        <v>22358.880000000001</v>
      </c>
      <c r="H41" s="6"/>
      <c r="I41" s="7">
        <v>1547.65</v>
      </c>
      <c r="J41" s="6"/>
      <c r="K41" s="7">
        <v>0</v>
      </c>
      <c r="L41" s="6"/>
      <c r="M41" s="7">
        <v>0</v>
      </c>
      <c r="N41" s="6"/>
      <c r="O41" s="7">
        <v>2800</v>
      </c>
      <c r="P41" s="6"/>
      <c r="Q41" s="7">
        <v>0</v>
      </c>
      <c r="R41" s="6"/>
      <c r="S41" s="7">
        <v>8391.5</v>
      </c>
      <c r="T41" s="6"/>
      <c r="U41" s="7">
        <v>0</v>
      </c>
      <c r="V41" s="6"/>
      <c r="W41" s="7">
        <v>0</v>
      </c>
      <c r="X41" s="6"/>
      <c r="Y41" s="7">
        <v>0</v>
      </c>
      <c r="Z41" s="6"/>
      <c r="AA41" s="7">
        <v>0</v>
      </c>
      <c r="AB41" s="6"/>
      <c r="AC41" s="7">
        <v>0</v>
      </c>
      <c r="AD41" s="6"/>
      <c r="AE41" s="7">
        <v>0</v>
      </c>
      <c r="AF41" s="6"/>
      <c r="AG41" s="7">
        <v>0</v>
      </c>
      <c r="AH41" s="6"/>
      <c r="AI41" s="7">
        <v>0</v>
      </c>
      <c r="AJ41" s="6"/>
      <c r="AK41" s="7">
        <v>0</v>
      </c>
      <c r="AL41" s="6"/>
      <c r="AM41" s="7">
        <v>0</v>
      </c>
      <c r="AN41" s="6"/>
      <c r="AO41" s="7">
        <v>0</v>
      </c>
      <c r="AP41" s="6"/>
      <c r="AQ41" s="7">
        <v>0</v>
      </c>
      <c r="AR41" s="6"/>
      <c r="AS41" s="7">
        <v>0</v>
      </c>
      <c r="AT41" s="6"/>
      <c r="AU41" s="7">
        <v>0</v>
      </c>
      <c r="AV41" s="6"/>
      <c r="AW41" s="7">
        <f>ROUND(SUM(G41:AU41),5)</f>
        <v>35098.03</v>
      </c>
    </row>
    <row r="42" spans="1:49">
      <c r="A42" s="4"/>
      <c r="B42" s="4"/>
      <c r="C42" s="4"/>
      <c r="D42" s="4"/>
      <c r="E42" s="4"/>
      <c r="F42" s="4" t="s">
        <v>136</v>
      </c>
      <c r="G42" s="7">
        <v>0</v>
      </c>
      <c r="H42" s="6"/>
      <c r="I42" s="7">
        <v>0</v>
      </c>
      <c r="J42" s="6"/>
      <c r="K42" s="7">
        <v>0</v>
      </c>
      <c r="L42" s="6"/>
      <c r="M42" s="7">
        <v>0</v>
      </c>
      <c r="N42" s="6"/>
      <c r="O42" s="7">
        <v>2000</v>
      </c>
      <c r="P42" s="6"/>
      <c r="Q42" s="7">
        <v>0</v>
      </c>
      <c r="R42" s="6"/>
      <c r="S42" s="7">
        <v>0</v>
      </c>
      <c r="T42" s="6"/>
      <c r="U42" s="7">
        <v>0</v>
      </c>
      <c r="V42" s="6"/>
      <c r="W42" s="7">
        <v>0</v>
      </c>
      <c r="X42" s="6"/>
      <c r="Y42" s="7">
        <v>0</v>
      </c>
      <c r="Z42" s="6"/>
      <c r="AA42" s="7">
        <v>0</v>
      </c>
      <c r="AB42" s="6"/>
      <c r="AC42" s="7">
        <v>0</v>
      </c>
      <c r="AD42" s="6"/>
      <c r="AE42" s="7">
        <v>0</v>
      </c>
      <c r="AF42" s="6"/>
      <c r="AG42" s="7">
        <v>0</v>
      </c>
      <c r="AH42" s="6"/>
      <c r="AI42" s="7">
        <v>0</v>
      </c>
      <c r="AJ42" s="6"/>
      <c r="AK42" s="7">
        <v>0</v>
      </c>
      <c r="AL42" s="6"/>
      <c r="AM42" s="7">
        <v>0</v>
      </c>
      <c r="AN42" s="6"/>
      <c r="AO42" s="7">
        <v>0</v>
      </c>
      <c r="AP42" s="6"/>
      <c r="AQ42" s="7">
        <v>0</v>
      </c>
      <c r="AR42" s="6"/>
      <c r="AS42" s="7">
        <v>0</v>
      </c>
      <c r="AT42" s="6"/>
      <c r="AU42" s="7">
        <v>0</v>
      </c>
      <c r="AV42" s="6"/>
      <c r="AW42" s="7">
        <f>ROUND(SUM(G42:AU42),5)</f>
        <v>2000</v>
      </c>
    </row>
    <row r="43" spans="1:49">
      <c r="A43" s="4"/>
      <c r="B43" s="4"/>
      <c r="C43" s="4"/>
      <c r="D43" s="4"/>
      <c r="E43" s="4"/>
      <c r="F43" s="4" t="s">
        <v>138</v>
      </c>
      <c r="G43" s="7">
        <v>0</v>
      </c>
      <c r="H43" s="6"/>
      <c r="I43" s="7">
        <v>9479.5</v>
      </c>
      <c r="J43" s="6"/>
      <c r="K43" s="7">
        <v>0</v>
      </c>
      <c r="L43" s="6"/>
      <c r="M43" s="7">
        <v>0</v>
      </c>
      <c r="N43" s="6"/>
      <c r="O43" s="7">
        <v>0</v>
      </c>
      <c r="P43" s="6"/>
      <c r="Q43" s="7">
        <v>0</v>
      </c>
      <c r="R43" s="6"/>
      <c r="S43" s="7">
        <v>0</v>
      </c>
      <c r="T43" s="6"/>
      <c r="U43" s="7">
        <v>0</v>
      </c>
      <c r="V43" s="6"/>
      <c r="W43" s="7">
        <v>0</v>
      </c>
      <c r="X43" s="6"/>
      <c r="Y43" s="7">
        <v>0</v>
      </c>
      <c r="Z43" s="6"/>
      <c r="AA43" s="7">
        <v>0</v>
      </c>
      <c r="AB43" s="6"/>
      <c r="AC43" s="7">
        <v>0</v>
      </c>
      <c r="AD43" s="6"/>
      <c r="AE43" s="7">
        <v>0</v>
      </c>
      <c r="AF43" s="6"/>
      <c r="AG43" s="7">
        <v>0</v>
      </c>
      <c r="AH43" s="6"/>
      <c r="AI43" s="7">
        <v>0</v>
      </c>
      <c r="AJ43" s="6"/>
      <c r="AK43" s="7">
        <v>0</v>
      </c>
      <c r="AL43" s="6"/>
      <c r="AM43" s="7">
        <v>0</v>
      </c>
      <c r="AN43" s="6"/>
      <c r="AO43" s="7">
        <v>0</v>
      </c>
      <c r="AP43" s="6"/>
      <c r="AQ43" s="7">
        <v>0</v>
      </c>
      <c r="AR43" s="6"/>
      <c r="AS43" s="7">
        <v>0</v>
      </c>
      <c r="AT43" s="6"/>
      <c r="AU43" s="7">
        <v>0</v>
      </c>
      <c r="AV43" s="6"/>
      <c r="AW43" s="7">
        <f>ROUND(SUM(G43:AU43),5)</f>
        <v>9479.5</v>
      </c>
    </row>
    <row r="44" spans="1:49">
      <c r="A44" s="4"/>
      <c r="B44" s="4"/>
      <c r="C44" s="4"/>
      <c r="D44" s="4"/>
      <c r="E44" s="4"/>
      <c r="F44" s="4" t="s">
        <v>139</v>
      </c>
      <c r="G44" s="7">
        <v>128.49</v>
      </c>
      <c r="H44" s="6"/>
      <c r="I44" s="7">
        <v>0</v>
      </c>
      <c r="J44" s="6"/>
      <c r="K44" s="7">
        <v>0</v>
      </c>
      <c r="L44" s="6"/>
      <c r="M44" s="7">
        <v>0</v>
      </c>
      <c r="N44" s="6"/>
      <c r="O44" s="7">
        <v>0</v>
      </c>
      <c r="P44" s="6"/>
      <c r="Q44" s="7">
        <v>0</v>
      </c>
      <c r="R44" s="6"/>
      <c r="S44" s="7">
        <v>0</v>
      </c>
      <c r="T44" s="6"/>
      <c r="U44" s="7">
        <v>0</v>
      </c>
      <c r="V44" s="6"/>
      <c r="W44" s="7">
        <v>0</v>
      </c>
      <c r="X44" s="6"/>
      <c r="Y44" s="7">
        <v>0</v>
      </c>
      <c r="Z44" s="6"/>
      <c r="AA44" s="7">
        <v>0</v>
      </c>
      <c r="AB44" s="6"/>
      <c r="AC44" s="7">
        <v>0</v>
      </c>
      <c r="AD44" s="6"/>
      <c r="AE44" s="7">
        <v>0</v>
      </c>
      <c r="AF44" s="6"/>
      <c r="AG44" s="7">
        <v>0</v>
      </c>
      <c r="AH44" s="6"/>
      <c r="AI44" s="7">
        <v>0</v>
      </c>
      <c r="AJ44" s="6"/>
      <c r="AK44" s="7">
        <v>0</v>
      </c>
      <c r="AL44" s="6"/>
      <c r="AM44" s="7">
        <v>0</v>
      </c>
      <c r="AN44" s="6"/>
      <c r="AO44" s="7">
        <v>0</v>
      </c>
      <c r="AP44" s="6"/>
      <c r="AQ44" s="7">
        <v>0</v>
      </c>
      <c r="AR44" s="6"/>
      <c r="AS44" s="7">
        <v>0</v>
      </c>
      <c r="AT44" s="6"/>
      <c r="AU44" s="7">
        <v>0</v>
      </c>
      <c r="AV44" s="6"/>
      <c r="AW44" s="7">
        <f>ROUND(SUM(G44:AU44),5)</f>
        <v>128.49</v>
      </c>
    </row>
    <row r="45" spans="1:49">
      <c r="A45" s="4"/>
      <c r="B45" s="4"/>
      <c r="C45" s="4"/>
      <c r="D45" s="4"/>
      <c r="E45" s="4"/>
      <c r="F45" s="4" t="s">
        <v>140</v>
      </c>
      <c r="G45" s="7">
        <v>1317.76</v>
      </c>
      <c r="H45" s="6"/>
      <c r="I45" s="7">
        <v>453.87</v>
      </c>
      <c r="J45" s="6"/>
      <c r="K45" s="7">
        <v>0</v>
      </c>
      <c r="L45" s="6"/>
      <c r="M45" s="7">
        <v>0</v>
      </c>
      <c r="N45" s="6"/>
      <c r="O45" s="7">
        <v>0</v>
      </c>
      <c r="P45" s="6"/>
      <c r="Q45" s="7">
        <v>0</v>
      </c>
      <c r="R45" s="6"/>
      <c r="S45" s="7">
        <v>0</v>
      </c>
      <c r="T45" s="6"/>
      <c r="U45" s="7">
        <v>0</v>
      </c>
      <c r="V45" s="6"/>
      <c r="W45" s="7">
        <v>0</v>
      </c>
      <c r="X45" s="6"/>
      <c r="Y45" s="7">
        <v>0</v>
      </c>
      <c r="Z45" s="6"/>
      <c r="AA45" s="7">
        <v>0</v>
      </c>
      <c r="AB45" s="6"/>
      <c r="AC45" s="7">
        <v>0</v>
      </c>
      <c r="AD45" s="6"/>
      <c r="AE45" s="7">
        <v>0</v>
      </c>
      <c r="AF45" s="6"/>
      <c r="AG45" s="7">
        <v>0</v>
      </c>
      <c r="AH45" s="6"/>
      <c r="AI45" s="7">
        <v>0</v>
      </c>
      <c r="AJ45" s="6"/>
      <c r="AK45" s="7">
        <v>0</v>
      </c>
      <c r="AL45" s="6"/>
      <c r="AM45" s="7">
        <v>5000</v>
      </c>
      <c r="AN45" s="6"/>
      <c r="AO45" s="7">
        <v>0</v>
      </c>
      <c r="AP45" s="6"/>
      <c r="AQ45" s="7">
        <v>0</v>
      </c>
      <c r="AR45" s="6"/>
      <c r="AS45" s="7">
        <v>0</v>
      </c>
      <c r="AT45" s="6"/>
      <c r="AU45" s="7">
        <v>0</v>
      </c>
      <c r="AV45" s="6"/>
      <c r="AW45" s="7">
        <f>ROUND(SUM(G45:AU45),5)</f>
        <v>6771.63</v>
      </c>
    </row>
    <row r="46" spans="1:49">
      <c r="A46" s="4"/>
      <c r="B46" s="4"/>
      <c r="C46" s="4"/>
      <c r="D46" s="4"/>
      <c r="E46" s="4"/>
      <c r="F46" s="4" t="s">
        <v>141</v>
      </c>
      <c r="G46" s="7">
        <v>353.36</v>
      </c>
      <c r="H46" s="6"/>
      <c r="I46" s="7">
        <v>0</v>
      </c>
      <c r="J46" s="6"/>
      <c r="K46" s="7">
        <v>0</v>
      </c>
      <c r="L46" s="6"/>
      <c r="M46" s="7">
        <v>0</v>
      </c>
      <c r="N46" s="6"/>
      <c r="O46" s="7">
        <v>0</v>
      </c>
      <c r="P46" s="6"/>
      <c r="Q46" s="7">
        <v>0</v>
      </c>
      <c r="R46" s="6"/>
      <c r="S46" s="7">
        <v>0</v>
      </c>
      <c r="T46" s="6"/>
      <c r="U46" s="7">
        <v>0</v>
      </c>
      <c r="V46" s="6"/>
      <c r="W46" s="7">
        <v>0</v>
      </c>
      <c r="X46" s="6"/>
      <c r="Y46" s="7">
        <v>0</v>
      </c>
      <c r="Z46" s="6"/>
      <c r="AA46" s="7">
        <v>0</v>
      </c>
      <c r="AB46" s="6"/>
      <c r="AC46" s="7">
        <v>0</v>
      </c>
      <c r="AD46" s="6"/>
      <c r="AE46" s="7">
        <v>0</v>
      </c>
      <c r="AF46" s="6"/>
      <c r="AG46" s="7">
        <v>0</v>
      </c>
      <c r="AH46" s="6"/>
      <c r="AI46" s="7">
        <v>0</v>
      </c>
      <c r="AJ46" s="6"/>
      <c r="AK46" s="7">
        <v>0</v>
      </c>
      <c r="AL46" s="6"/>
      <c r="AM46" s="7">
        <v>0</v>
      </c>
      <c r="AN46" s="6"/>
      <c r="AO46" s="7">
        <v>0</v>
      </c>
      <c r="AP46" s="6"/>
      <c r="AQ46" s="7">
        <v>0</v>
      </c>
      <c r="AR46" s="6"/>
      <c r="AS46" s="7">
        <v>0</v>
      </c>
      <c r="AT46" s="6"/>
      <c r="AU46" s="7">
        <v>0</v>
      </c>
      <c r="AV46" s="6"/>
      <c r="AW46" s="7">
        <f>ROUND(SUM(G46:AU46),5)</f>
        <v>353.36</v>
      </c>
    </row>
    <row r="47" spans="1:49">
      <c r="A47" s="4"/>
      <c r="B47" s="4"/>
      <c r="C47" s="4"/>
      <c r="D47" s="4"/>
      <c r="E47" s="4"/>
      <c r="F47" s="4" t="s">
        <v>142</v>
      </c>
      <c r="G47" s="7">
        <v>-359.32</v>
      </c>
      <c r="H47" s="6"/>
      <c r="I47" s="7">
        <v>85.99</v>
      </c>
      <c r="J47" s="6"/>
      <c r="K47" s="7">
        <v>0</v>
      </c>
      <c r="L47" s="6"/>
      <c r="M47" s="7">
        <v>0</v>
      </c>
      <c r="N47" s="6"/>
      <c r="O47" s="7">
        <v>0</v>
      </c>
      <c r="P47" s="6"/>
      <c r="Q47" s="7">
        <v>0</v>
      </c>
      <c r="R47" s="6"/>
      <c r="S47" s="7">
        <v>0</v>
      </c>
      <c r="T47" s="6"/>
      <c r="U47" s="7">
        <v>0</v>
      </c>
      <c r="V47" s="6"/>
      <c r="W47" s="7">
        <v>0</v>
      </c>
      <c r="X47" s="6"/>
      <c r="Y47" s="7">
        <v>0</v>
      </c>
      <c r="Z47" s="6"/>
      <c r="AA47" s="7">
        <v>0</v>
      </c>
      <c r="AB47" s="6"/>
      <c r="AC47" s="7">
        <v>0</v>
      </c>
      <c r="AD47" s="6"/>
      <c r="AE47" s="7">
        <v>0</v>
      </c>
      <c r="AF47" s="6"/>
      <c r="AG47" s="7">
        <v>0</v>
      </c>
      <c r="AH47" s="6"/>
      <c r="AI47" s="7">
        <v>0</v>
      </c>
      <c r="AJ47" s="6"/>
      <c r="AK47" s="7">
        <v>0</v>
      </c>
      <c r="AL47" s="6"/>
      <c r="AM47" s="7">
        <v>0</v>
      </c>
      <c r="AN47" s="6"/>
      <c r="AO47" s="7">
        <v>0</v>
      </c>
      <c r="AP47" s="6"/>
      <c r="AQ47" s="7">
        <v>0</v>
      </c>
      <c r="AR47" s="6"/>
      <c r="AS47" s="7">
        <v>0</v>
      </c>
      <c r="AT47" s="6"/>
      <c r="AU47" s="7">
        <v>0</v>
      </c>
      <c r="AV47" s="6"/>
      <c r="AW47" s="7">
        <f>ROUND(SUM(G47:AU47),5)</f>
        <v>-273.33</v>
      </c>
    </row>
    <row r="48" spans="1:49">
      <c r="A48" s="4"/>
      <c r="B48" s="4"/>
      <c r="C48" s="4"/>
      <c r="D48" s="4"/>
      <c r="E48" s="4"/>
      <c r="F48" s="4" t="s">
        <v>144</v>
      </c>
      <c r="G48" s="7">
        <v>2719.52</v>
      </c>
      <c r="H48" s="6"/>
      <c r="I48" s="7">
        <v>0</v>
      </c>
      <c r="J48" s="6"/>
      <c r="K48" s="7">
        <v>0</v>
      </c>
      <c r="L48" s="6"/>
      <c r="M48" s="7">
        <v>0</v>
      </c>
      <c r="N48" s="6"/>
      <c r="O48" s="7">
        <v>0</v>
      </c>
      <c r="P48" s="6"/>
      <c r="Q48" s="7">
        <v>0</v>
      </c>
      <c r="R48" s="6"/>
      <c r="S48" s="7">
        <v>0</v>
      </c>
      <c r="T48" s="6"/>
      <c r="U48" s="7">
        <v>0</v>
      </c>
      <c r="V48" s="6"/>
      <c r="W48" s="7">
        <v>0</v>
      </c>
      <c r="X48" s="6"/>
      <c r="Y48" s="7">
        <v>0</v>
      </c>
      <c r="Z48" s="6"/>
      <c r="AA48" s="7">
        <v>0</v>
      </c>
      <c r="AB48" s="6"/>
      <c r="AC48" s="7">
        <v>0</v>
      </c>
      <c r="AD48" s="6"/>
      <c r="AE48" s="7">
        <v>0</v>
      </c>
      <c r="AF48" s="6"/>
      <c r="AG48" s="7">
        <v>0</v>
      </c>
      <c r="AH48" s="6"/>
      <c r="AI48" s="7">
        <v>0</v>
      </c>
      <c r="AJ48" s="6"/>
      <c r="AK48" s="7">
        <v>0</v>
      </c>
      <c r="AL48" s="6"/>
      <c r="AM48" s="7">
        <v>0</v>
      </c>
      <c r="AN48" s="6"/>
      <c r="AO48" s="7">
        <v>0</v>
      </c>
      <c r="AP48" s="6"/>
      <c r="AQ48" s="7">
        <v>0</v>
      </c>
      <c r="AR48" s="6"/>
      <c r="AS48" s="7">
        <v>0</v>
      </c>
      <c r="AT48" s="6"/>
      <c r="AU48" s="7">
        <v>0</v>
      </c>
      <c r="AV48" s="6"/>
      <c r="AW48" s="7">
        <f>ROUND(SUM(G48:AU48),5)</f>
        <v>2719.52</v>
      </c>
    </row>
    <row r="49" spans="1:49">
      <c r="A49" s="4"/>
      <c r="B49" s="4"/>
      <c r="C49" s="4"/>
      <c r="D49" s="4"/>
      <c r="E49" s="4"/>
      <c r="F49" s="4" t="s">
        <v>145</v>
      </c>
      <c r="G49" s="7">
        <v>7959.44</v>
      </c>
      <c r="H49" s="6"/>
      <c r="I49" s="7">
        <v>9219.61</v>
      </c>
      <c r="J49" s="6"/>
      <c r="K49" s="7">
        <v>0</v>
      </c>
      <c r="L49" s="6"/>
      <c r="M49" s="7">
        <v>0</v>
      </c>
      <c r="N49" s="6"/>
      <c r="O49" s="7">
        <v>0</v>
      </c>
      <c r="P49" s="6"/>
      <c r="Q49" s="7">
        <v>0</v>
      </c>
      <c r="R49" s="6"/>
      <c r="S49" s="7">
        <v>0</v>
      </c>
      <c r="T49" s="6"/>
      <c r="U49" s="7">
        <v>0</v>
      </c>
      <c r="V49" s="6"/>
      <c r="W49" s="7">
        <v>0</v>
      </c>
      <c r="X49" s="6"/>
      <c r="Y49" s="7">
        <v>0</v>
      </c>
      <c r="Z49" s="6"/>
      <c r="AA49" s="7">
        <v>0</v>
      </c>
      <c r="AB49" s="6"/>
      <c r="AC49" s="7">
        <v>0</v>
      </c>
      <c r="AD49" s="6"/>
      <c r="AE49" s="7">
        <v>0</v>
      </c>
      <c r="AF49" s="6"/>
      <c r="AG49" s="7">
        <v>0</v>
      </c>
      <c r="AH49" s="6"/>
      <c r="AI49" s="7">
        <v>0</v>
      </c>
      <c r="AJ49" s="6"/>
      <c r="AK49" s="7">
        <v>0</v>
      </c>
      <c r="AL49" s="6"/>
      <c r="AM49" s="7">
        <v>0</v>
      </c>
      <c r="AN49" s="6"/>
      <c r="AO49" s="7">
        <v>0</v>
      </c>
      <c r="AP49" s="6"/>
      <c r="AQ49" s="7">
        <v>0</v>
      </c>
      <c r="AR49" s="6"/>
      <c r="AS49" s="7">
        <v>0</v>
      </c>
      <c r="AT49" s="6"/>
      <c r="AU49" s="7">
        <v>0</v>
      </c>
      <c r="AV49" s="6"/>
      <c r="AW49" s="7">
        <f>ROUND(SUM(G49:AU49),5)</f>
        <v>17179.05</v>
      </c>
    </row>
    <row r="50" spans="1:49">
      <c r="A50" s="4"/>
      <c r="B50" s="4"/>
      <c r="C50" s="4"/>
      <c r="D50" s="4"/>
      <c r="E50" s="4"/>
      <c r="F50" s="4" t="s">
        <v>146</v>
      </c>
      <c r="G50" s="7">
        <v>5100</v>
      </c>
      <c r="H50" s="6"/>
      <c r="I50" s="7">
        <v>0</v>
      </c>
      <c r="J50" s="6"/>
      <c r="K50" s="7">
        <v>0</v>
      </c>
      <c r="L50" s="6"/>
      <c r="M50" s="7">
        <v>0</v>
      </c>
      <c r="N50" s="6"/>
      <c r="O50" s="7">
        <v>0</v>
      </c>
      <c r="P50" s="6"/>
      <c r="Q50" s="7">
        <v>0</v>
      </c>
      <c r="R50" s="6"/>
      <c r="S50" s="7">
        <v>0</v>
      </c>
      <c r="T50" s="6"/>
      <c r="U50" s="7">
        <v>0</v>
      </c>
      <c r="V50" s="6"/>
      <c r="W50" s="7">
        <v>0</v>
      </c>
      <c r="X50" s="6"/>
      <c r="Y50" s="7">
        <v>0</v>
      </c>
      <c r="Z50" s="6"/>
      <c r="AA50" s="7">
        <v>0</v>
      </c>
      <c r="AB50" s="6"/>
      <c r="AC50" s="7">
        <v>0</v>
      </c>
      <c r="AD50" s="6"/>
      <c r="AE50" s="7">
        <v>0</v>
      </c>
      <c r="AF50" s="6"/>
      <c r="AG50" s="7">
        <v>0</v>
      </c>
      <c r="AH50" s="6"/>
      <c r="AI50" s="7">
        <v>0</v>
      </c>
      <c r="AJ50" s="6"/>
      <c r="AK50" s="7">
        <v>0</v>
      </c>
      <c r="AL50" s="6"/>
      <c r="AM50" s="7">
        <v>0</v>
      </c>
      <c r="AN50" s="6"/>
      <c r="AO50" s="7">
        <v>0</v>
      </c>
      <c r="AP50" s="6"/>
      <c r="AQ50" s="7">
        <v>0</v>
      </c>
      <c r="AR50" s="6"/>
      <c r="AS50" s="7">
        <v>0</v>
      </c>
      <c r="AT50" s="6"/>
      <c r="AU50" s="7">
        <v>0</v>
      </c>
      <c r="AV50" s="6"/>
      <c r="AW50" s="7">
        <f>ROUND(SUM(G50:AU50),5)</f>
        <v>5100</v>
      </c>
    </row>
    <row r="51" spans="1:49" ht="15.75" thickBot="1">
      <c r="A51" s="4"/>
      <c r="B51" s="4"/>
      <c r="C51" s="4"/>
      <c r="D51" s="4"/>
      <c r="E51" s="4"/>
      <c r="F51" s="4" t="s">
        <v>147</v>
      </c>
      <c r="G51" s="9">
        <v>3695</v>
      </c>
      <c r="H51" s="6"/>
      <c r="I51" s="9">
        <v>0</v>
      </c>
      <c r="J51" s="6"/>
      <c r="K51" s="9">
        <v>0</v>
      </c>
      <c r="L51" s="6"/>
      <c r="M51" s="9">
        <v>0</v>
      </c>
      <c r="N51" s="6"/>
      <c r="O51" s="9">
        <v>0</v>
      </c>
      <c r="P51" s="6"/>
      <c r="Q51" s="9">
        <v>0</v>
      </c>
      <c r="R51" s="6"/>
      <c r="S51" s="9">
        <v>0</v>
      </c>
      <c r="T51" s="6"/>
      <c r="U51" s="9">
        <v>0</v>
      </c>
      <c r="V51" s="6"/>
      <c r="W51" s="9">
        <v>0</v>
      </c>
      <c r="X51" s="6"/>
      <c r="Y51" s="9">
        <v>0</v>
      </c>
      <c r="Z51" s="6"/>
      <c r="AA51" s="9">
        <v>0</v>
      </c>
      <c r="AB51" s="6"/>
      <c r="AC51" s="9">
        <v>0</v>
      </c>
      <c r="AD51" s="6"/>
      <c r="AE51" s="9">
        <v>1479.68</v>
      </c>
      <c r="AF51" s="6"/>
      <c r="AG51" s="9">
        <v>0</v>
      </c>
      <c r="AH51" s="6"/>
      <c r="AI51" s="9">
        <v>0</v>
      </c>
      <c r="AJ51" s="6"/>
      <c r="AK51" s="9">
        <v>0</v>
      </c>
      <c r="AL51" s="6"/>
      <c r="AM51" s="9">
        <v>0</v>
      </c>
      <c r="AN51" s="6"/>
      <c r="AO51" s="9">
        <v>0</v>
      </c>
      <c r="AP51" s="6"/>
      <c r="AQ51" s="9">
        <v>0</v>
      </c>
      <c r="AR51" s="6"/>
      <c r="AS51" s="9">
        <v>0</v>
      </c>
      <c r="AT51" s="6"/>
      <c r="AU51" s="9">
        <v>0</v>
      </c>
      <c r="AV51" s="6"/>
      <c r="AW51" s="9">
        <f>ROUND(SUM(G51:AU51),5)</f>
        <v>5174.68</v>
      </c>
    </row>
    <row r="52" spans="1:49">
      <c r="A52" s="4"/>
      <c r="B52" s="4"/>
      <c r="C52" s="4"/>
      <c r="D52" s="4"/>
      <c r="E52" s="4" t="s">
        <v>148</v>
      </c>
      <c r="F52" s="4"/>
      <c r="G52" s="7">
        <f>ROUND(SUM(G25:G51),5)</f>
        <v>234989.01</v>
      </c>
      <c r="H52" s="6"/>
      <c r="I52" s="7">
        <f>ROUND(SUM(I25:I51),5)</f>
        <v>45142.05</v>
      </c>
      <c r="J52" s="6"/>
      <c r="K52" s="7">
        <f>ROUND(SUM(K25:K51),5)</f>
        <v>168</v>
      </c>
      <c r="L52" s="6"/>
      <c r="M52" s="7">
        <f>ROUND(SUM(M25:M51),5)</f>
        <v>2664.95</v>
      </c>
      <c r="N52" s="6"/>
      <c r="O52" s="7">
        <f>ROUND(SUM(O25:O51),5)</f>
        <v>7300</v>
      </c>
      <c r="P52" s="6"/>
      <c r="Q52" s="7">
        <f>ROUND(SUM(Q25:Q51),5)</f>
        <v>3686.17</v>
      </c>
      <c r="R52" s="6"/>
      <c r="S52" s="7">
        <f>ROUND(SUM(S25:S51),5)</f>
        <v>8391.5</v>
      </c>
      <c r="T52" s="6"/>
      <c r="U52" s="7">
        <f>ROUND(SUM(U25:U51),5)</f>
        <v>0</v>
      </c>
      <c r="V52" s="6"/>
      <c r="W52" s="7">
        <f>ROUND(SUM(W25:W51),5)</f>
        <v>62750</v>
      </c>
      <c r="X52" s="6"/>
      <c r="Y52" s="7">
        <f>ROUND(SUM(Y25:Y51),5)</f>
        <v>0</v>
      </c>
      <c r="Z52" s="6"/>
      <c r="AA52" s="7">
        <f>ROUND(SUM(AA25:AA51),5)</f>
        <v>0</v>
      </c>
      <c r="AB52" s="6"/>
      <c r="AC52" s="7">
        <f>ROUND(SUM(AC25:AC51),5)</f>
        <v>0</v>
      </c>
      <c r="AD52" s="6"/>
      <c r="AE52" s="7">
        <f>ROUND(SUM(AE25:AE51),5)</f>
        <v>1479.68</v>
      </c>
      <c r="AF52" s="6"/>
      <c r="AG52" s="7">
        <f>ROUND(SUM(AG25:AG51),5)</f>
        <v>12254.29</v>
      </c>
      <c r="AH52" s="6"/>
      <c r="AI52" s="7">
        <f>ROUND(SUM(AI25:AI51),5)</f>
        <v>0</v>
      </c>
      <c r="AJ52" s="6"/>
      <c r="AK52" s="7">
        <f>ROUND(SUM(AK25:AK51),5)</f>
        <v>0</v>
      </c>
      <c r="AL52" s="6"/>
      <c r="AM52" s="7">
        <f>ROUND(SUM(AM25:AM51),5)</f>
        <v>8262.5</v>
      </c>
      <c r="AN52" s="6"/>
      <c r="AO52" s="7">
        <f>ROUND(SUM(AO25:AO51),5)</f>
        <v>0</v>
      </c>
      <c r="AP52" s="6"/>
      <c r="AQ52" s="7">
        <f>ROUND(SUM(AQ25:AQ51),5)</f>
        <v>0</v>
      </c>
      <c r="AR52" s="6"/>
      <c r="AS52" s="7">
        <f>ROUND(SUM(AS25:AS51),5)</f>
        <v>-368.14</v>
      </c>
      <c r="AT52" s="6"/>
      <c r="AU52" s="7">
        <f>ROUND(SUM(AU25:AU51),5)</f>
        <v>41015.730000000003</v>
      </c>
      <c r="AV52" s="6"/>
      <c r="AW52" s="7">
        <f>ROUND(SUM(G52:AU52),5)</f>
        <v>427735.74</v>
      </c>
    </row>
    <row r="53" spans="1:49">
      <c r="A53" s="4"/>
      <c r="B53" s="4"/>
      <c r="C53" s="4"/>
      <c r="D53" s="4"/>
      <c r="E53" s="4" t="s">
        <v>152</v>
      </c>
      <c r="F53" s="4"/>
      <c r="G53" s="7"/>
      <c r="H53" s="6"/>
      <c r="I53" s="7"/>
      <c r="J53" s="6"/>
      <c r="K53" s="7"/>
      <c r="L53" s="6"/>
      <c r="M53" s="7"/>
      <c r="N53" s="6"/>
      <c r="O53" s="7"/>
      <c r="P53" s="6"/>
      <c r="Q53" s="7"/>
      <c r="R53" s="6"/>
      <c r="S53" s="7"/>
      <c r="T53" s="6"/>
      <c r="U53" s="7"/>
      <c r="V53" s="6"/>
      <c r="W53" s="7"/>
      <c r="X53" s="6"/>
      <c r="Y53" s="7"/>
      <c r="Z53" s="6"/>
      <c r="AA53" s="7"/>
      <c r="AB53" s="6"/>
      <c r="AC53" s="7"/>
      <c r="AD53" s="6"/>
      <c r="AE53" s="7"/>
      <c r="AF53" s="6"/>
      <c r="AG53" s="7"/>
      <c r="AH53" s="6"/>
      <c r="AI53" s="7"/>
      <c r="AJ53" s="6"/>
      <c r="AK53" s="7"/>
      <c r="AL53" s="6"/>
      <c r="AM53" s="7"/>
      <c r="AN53" s="6"/>
      <c r="AO53" s="7"/>
      <c r="AP53" s="6"/>
      <c r="AQ53" s="7"/>
      <c r="AR53" s="6"/>
      <c r="AS53" s="7"/>
      <c r="AT53" s="6"/>
      <c r="AU53" s="7"/>
      <c r="AV53" s="6"/>
      <c r="AW53" s="7"/>
    </row>
    <row r="54" spans="1:49">
      <c r="A54" s="4"/>
      <c r="B54" s="4"/>
      <c r="C54" s="4"/>
      <c r="D54" s="4"/>
      <c r="E54" s="4"/>
      <c r="F54" s="4" t="s">
        <v>153</v>
      </c>
      <c r="G54" s="7">
        <v>10513.3</v>
      </c>
      <c r="H54" s="6"/>
      <c r="I54" s="7">
        <v>3500</v>
      </c>
      <c r="J54" s="6"/>
      <c r="K54" s="7">
        <v>0</v>
      </c>
      <c r="L54" s="6"/>
      <c r="M54" s="7">
        <v>0</v>
      </c>
      <c r="N54" s="6"/>
      <c r="O54" s="7">
        <v>0</v>
      </c>
      <c r="P54" s="6"/>
      <c r="Q54" s="7">
        <v>0</v>
      </c>
      <c r="R54" s="6"/>
      <c r="S54" s="7">
        <v>0</v>
      </c>
      <c r="T54" s="6"/>
      <c r="U54" s="7">
        <v>0</v>
      </c>
      <c r="V54" s="6"/>
      <c r="W54" s="7">
        <v>0</v>
      </c>
      <c r="X54" s="6"/>
      <c r="Y54" s="7">
        <v>0</v>
      </c>
      <c r="Z54" s="6"/>
      <c r="AA54" s="7">
        <v>0</v>
      </c>
      <c r="AB54" s="6"/>
      <c r="AC54" s="7">
        <v>0</v>
      </c>
      <c r="AD54" s="6"/>
      <c r="AE54" s="7">
        <v>0</v>
      </c>
      <c r="AF54" s="6"/>
      <c r="AG54" s="7">
        <v>0</v>
      </c>
      <c r="AH54" s="6"/>
      <c r="AI54" s="7">
        <v>0</v>
      </c>
      <c r="AJ54" s="6"/>
      <c r="AK54" s="7">
        <v>0</v>
      </c>
      <c r="AL54" s="6"/>
      <c r="AM54" s="7">
        <v>19112.439999999999</v>
      </c>
      <c r="AN54" s="6"/>
      <c r="AO54" s="7">
        <v>0</v>
      </c>
      <c r="AP54" s="6"/>
      <c r="AQ54" s="7">
        <v>0</v>
      </c>
      <c r="AR54" s="6"/>
      <c r="AS54" s="7">
        <v>0</v>
      </c>
      <c r="AT54" s="6"/>
      <c r="AU54" s="7">
        <v>13854.26</v>
      </c>
      <c r="AV54" s="6"/>
      <c r="AW54" s="7">
        <f>ROUND(SUM(G54:AU54),5)</f>
        <v>46980</v>
      </c>
    </row>
    <row r="55" spans="1:49">
      <c r="A55" s="4"/>
      <c r="B55" s="4"/>
      <c r="C55" s="4"/>
      <c r="D55" s="4"/>
      <c r="E55" s="4"/>
      <c r="F55" s="4" t="s">
        <v>154</v>
      </c>
      <c r="G55" s="7">
        <v>-14510.67</v>
      </c>
      <c r="H55" s="6"/>
      <c r="I55" s="7">
        <v>0</v>
      </c>
      <c r="J55" s="6"/>
      <c r="K55" s="7">
        <v>0</v>
      </c>
      <c r="L55" s="6"/>
      <c r="M55" s="7">
        <v>0</v>
      </c>
      <c r="N55" s="6"/>
      <c r="O55" s="7">
        <v>0</v>
      </c>
      <c r="P55" s="6"/>
      <c r="Q55" s="7">
        <v>0</v>
      </c>
      <c r="R55" s="6"/>
      <c r="S55" s="7">
        <v>0</v>
      </c>
      <c r="T55" s="6"/>
      <c r="U55" s="7">
        <v>0</v>
      </c>
      <c r="V55" s="6"/>
      <c r="W55" s="7">
        <v>0</v>
      </c>
      <c r="X55" s="6"/>
      <c r="Y55" s="7">
        <v>0</v>
      </c>
      <c r="Z55" s="6"/>
      <c r="AA55" s="7">
        <v>0</v>
      </c>
      <c r="AB55" s="6"/>
      <c r="AC55" s="7">
        <v>0</v>
      </c>
      <c r="AD55" s="6"/>
      <c r="AE55" s="7">
        <v>0</v>
      </c>
      <c r="AF55" s="6"/>
      <c r="AG55" s="7">
        <v>0</v>
      </c>
      <c r="AH55" s="6"/>
      <c r="AI55" s="7">
        <v>0</v>
      </c>
      <c r="AJ55" s="6"/>
      <c r="AK55" s="7">
        <v>0</v>
      </c>
      <c r="AL55" s="6"/>
      <c r="AM55" s="7">
        <v>6267.77</v>
      </c>
      <c r="AN55" s="6"/>
      <c r="AO55" s="7">
        <v>0</v>
      </c>
      <c r="AP55" s="6"/>
      <c r="AQ55" s="7">
        <v>0</v>
      </c>
      <c r="AR55" s="6"/>
      <c r="AS55" s="7">
        <v>0</v>
      </c>
      <c r="AT55" s="6"/>
      <c r="AU55" s="7">
        <v>28149.95</v>
      </c>
      <c r="AV55" s="6"/>
      <c r="AW55" s="7">
        <f>ROUND(SUM(G55:AU55),5)</f>
        <v>19907.05</v>
      </c>
    </row>
    <row r="56" spans="1:49">
      <c r="A56" s="4"/>
      <c r="B56" s="4"/>
      <c r="C56" s="4"/>
      <c r="D56" s="4"/>
      <c r="E56" s="4"/>
      <c r="F56" s="4" t="s">
        <v>156</v>
      </c>
      <c r="G56" s="7">
        <v>-579.09</v>
      </c>
      <c r="H56" s="6"/>
      <c r="I56" s="7">
        <v>0</v>
      </c>
      <c r="J56" s="6"/>
      <c r="K56" s="7">
        <v>0</v>
      </c>
      <c r="L56" s="6"/>
      <c r="M56" s="7">
        <v>0</v>
      </c>
      <c r="N56" s="6"/>
      <c r="O56" s="7">
        <v>0</v>
      </c>
      <c r="P56" s="6"/>
      <c r="Q56" s="7">
        <v>0</v>
      </c>
      <c r="R56" s="6"/>
      <c r="S56" s="7">
        <v>0</v>
      </c>
      <c r="T56" s="6"/>
      <c r="U56" s="7">
        <v>0</v>
      </c>
      <c r="V56" s="6"/>
      <c r="W56" s="7">
        <v>0</v>
      </c>
      <c r="X56" s="6"/>
      <c r="Y56" s="7">
        <v>0</v>
      </c>
      <c r="Z56" s="6"/>
      <c r="AA56" s="7">
        <v>0</v>
      </c>
      <c r="AB56" s="6"/>
      <c r="AC56" s="7">
        <v>0</v>
      </c>
      <c r="AD56" s="6"/>
      <c r="AE56" s="7">
        <v>0</v>
      </c>
      <c r="AF56" s="6"/>
      <c r="AG56" s="7">
        <v>0</v>
      </c>
      <c r="AH56" s="6"/>
      <c r="AI56" s="7">
        <v>0</v>
      </c>
      <c r="AJ56" s="6"/>
      <c r="AK56" s="7">
        <v>0</v>
      </c>
      <c r="AL56" s="6"/>
      <c r="AM56" s="7">
        <v>0</v>
      </c>
      <c r="AN56" s="6"/>
      <c r="AO56" s="7">
        <v>0</v>
      </c>
      <c r="AP56" s="6"/>
      <c r="AQ56" s="7">
        <v>0</v>
      </c>
      <c r="AR56" s="6"/>
      <c r="AS56" s="7">
        <v>0</v>
      </c>
      <c r="AT56" s="6"/>
      <c r="AU56" s="7">
        <v>1721.19</v>
      </c>
      <c r="AV56" s="6"/>
      <c r="AW56" s="7">
        <f>ROUND(SUM(G56:AU56),5)</f>
        <v>1142.0999999999999</v>
      </c>
    </row>
    <row r="57" spans="1:49">
      <c r="A57" s="4"/>
      <c r="B57" s="4"/>
      <c r="C57" s="4"/>
      <c r="D57" s="4"/>
      <c r="E57" s="4"/>
      <c r="F57" s="4" t="s">
        <v>157</v>
      </c>
      <c r="G57" s="7">
        <v>2048.7800000000002</v>
      </c>
      <c r="H57" s="6"/>
      <c r="I57" s="7">
        <v>267.75</v>
      </c>
      <c r="J57" s="6"/>
      <c r="K57" s="7">
        <v>0</v>
      </c>
      <c r="L57" s="6"/>
      <c r="M57" s="7">
        <v>0</v>
      </c>
      <c r="N57" s="6"/>
      <c r="O57" s="7">
        <v>0</v>
      </c>
      <c r="P57" s="6"/>
      <c r="Q57" s="7">
        <v>0</v>
      </c>
      <c r="R57" s="6"/>
      <c r="S57" s="7">
        <v>0</v>
      </c>
      <c r="T57" s="6"/>
      <c r="U57" s="7">
        <v>0</v>
      </c>
      <c r="V57" s="6"/>
      <c r="W57" s="7">
        <v>0</v>
      </c>
      <c r="X57" s="6"/>
      <c r="Y57" s="7">
        <v>0</v>
      </c>
      <c r="Z57" s="6"/>
      <c r="AA57" s="7">
        <v>0</v>
      </c>
      <c r="AB57" s="6"/>
      <c r="AC57" s="7">
        <v>0</v>
      </c>
      <c r="AD57" s="6"/>
      <c r="AE57" s="7">
        <v>0</v>
      </c>
      <c r="AF57" s="6"/>
      <c r="AG57" s="7">
        <v>0</v>
      </c>
      <c r="AH57" s="6"/>
      <c r="AI57" s="7">
        <v>0</v>
      </c>
      <c r="AJ57" s="6"/>
      <c r="AK57" s="7">
        <v>0</v>
      </c>
      <c r="AL57" s="6"/>
      <c r="AM57" s="7">
        <v>0</v>
      </c>
      <c r="AN57" s="6"/>
      <c r="AO57" s="7">
        <v>0</v>
      </c>
      <c r="AP57" s="6"/>
      <c r="AQ57" s="7">
        <v>0</v>
      </c>
      <c r="AR57" s="6"/>
      <c r="AS57" s="7">
        <v>0</v>
      </c>
      <c r="AT57" s="6"/>
      <c r="AU57" s="7">
        <v>1491.95</v>
      </c>
      <c r="AV57" s="6"/>
      <c r="AW57" s="7">
        <f>ROUND(SUM(G57:AU57),5)</f>
        <v>3808.48</v>
      </c>
    </row>
    <row r="58" spans="1:49">
      <c r="A58" s="4"/>
      <c r="B58" s="4"/>
      <c r="C58" s="4"/>
      <c r="D58" s="4"/>
      <c r="E58" s="4"/>
      <c r="F58" s="4" t="s">
        <v>158</v>
      </c>
      <c r="G58" s="7">
        <v>-805.71</v>
      </c>
      <c r="H58" s="6"/>
      <c r="I58" s="7">
        <v>0</v>
      </c>
      <c r="J58" s="6"/>
      <c r="K58" s="7">
        <v>0</v>
      </c>
      <c r="L58" s="6"/>
      <c r="M58" s="7">
        <v>0</v>
      </c>
      <c r="N58" s="6"/>
      <c r="O58" s="7">
        <v>0</v>
      </c>
      <c r="P58" s="6"/>
      <c r="Q58" s="7">
        <v>0</v>
      </c>
      <c r="R58" s="6"/>
      <c r="S58" s="7">
        <v>0</v>
      </c>
      <c r="T58" s="6"/>
      <c r="U58" s="7">
        <v>0</v>
      </c>
      <c r="V58" s="6"/>
      <c r="W58" s="7">
        <v>0</v>
      </c>
      <c r="X58" s="6"/>
      <c r="Y58" s="7">
        <v>0</v>
      </c>
      <c r="Z58" s="6"/>
      <c r="AA58" s="7">
        <v>0</v>
      </c>
      <c r="AB58" s="6"/>
      <c r="AC58" s="7">
        <v>0</v>
      </c>
      <c r="AD58" s="6"/>
      <c r="AE58" s="7">
        <v>0</v>
      </c>
      <c r="AF58" s="6"/>
      <c r="AG58" s="7">
        <v>0</v>
      </c>
      <c r="AH58" s="6"/>
      <c r="AI58" s="7">
        <v>0</v>
      </c>
      <c r="AJ58" s="6"/>
      <c r="AK58" s="7">
        <v>0</v>
      </c>
      <c r="AL58" s="6"/>
      <c r="AM58" s="7">
        <v>0</v>
      </c>
      <c r="AN58" s="6"/>
      <c r="AO58" s="7">
        <v>0</v>
      </c>
      <c r="AP58" s="6"/>
      <c r="AQ58" s="7">
        <v>0</v>
      </c>
      <c r="AR58" s="6"/>
      <c r="AS58" s="7">
        <v>0</v>
      </c>
      <c r="AT58" s="6"/>
      <c r="AU58" s="7">
        <v>0</v>
      </c>
      <c r="AV58" s="6"/>
      <c r="AW58" s="7">
        <f>ROUND(SUM(G58:AU58),5)</f>
        <v>-805.71</v>
      </c>
    </row>
    <row r="59" spans="1:49">
      <c r="A59" s="4"/>
      <c r="B59" s="4"/>
      <c r="C59" s="4"/>
      <c r="D59" s="4"/>
      <c r="E59" s="4"/>
      <c r="F59" s="4" t="s">
        <v>159</v>
      </c>
      <c r="G59" s="7">
        <v>0.01</v>
      </c>
      <c r="H59" s="6"/>
      <c r="I59" s="7">
        <v>0</v>
      </c>
      <c r="J59" s="6"/>
      <c r="K59" s="7">
        <v>0</v>
      </c>
      <c r="L59" s="6"/>
      <c r="M59" s="7">
        <v>0</v>
      </c>
      <c r="N59" s="6"/>
      <c r="O59" s="7">
        <v>0</v>
      </c>
      <c r="P59" s="6"/>
      <c r="Q59" s="7">
        <v>0</v>
      </c>
      <c r="R59" s="6"/>
      <c r="S59" s="7">
        <v>0</v>
      </c>
      <c r="T59" s="6"/>
      <c r="U59" s="7">
        <v>0</v>
      </c>
      <c r="V59" s="6"/>
      <c r="W59" s="7">
        <v>0</v>
      </c>
      <c r="X59" s="6"/>
      <c r="Y59" s="7">
        <v>0</v>
      </c>
      <c r="Z59" s="6"/>
      <c r="AA59" s="7">
        <v>0</v>
      </c>
      <c r="AB59" s="6"/>
      <c r="AC59" s="7">
        <v>0</v>
      </c>
      <c r="AD59" s="6"/>
      <c r="AE59" s="7">
        <v>0</v>
      </c>
      <c r="AF59" s="6"/>
      <c r="AG59" s="7">
        <v>0</v>
      </c>
      <c r="AH59" s="6"/>
      <c r="AI59" s="7">
        <v>0</v>
      </c>
      <c r="AJ59" s="6"/>
      <c r="AK59" s="7">
        <v>0</v>
      </c>
      <c r="AL59" s="6"/>
      <c r="AM59" s="7">
        <v>0</v>
      </c>
      <c r="AN59" s="6"/>
      <c r="AO59" s="7">
        <v>0</v>
      </c>
      <c r="AP59" s="6"/>
      <c r="AQ59" s="7">
        <v>0</v>
      </c>
      <c r="AR59" s="6"/>
      <c r="AS59" s="7">
        <v>0</v>
      </c>
      <c r="AT59" s="6"/>
      <c r="AU59" s="7">
        <v>0</v>
      </c>
      <c r="AV59" s="6"/>
      <c r="AW59" s="7">
        <f>ROUND(SUM(G59:AU59),5)</f>
        <v>0.01</v>
      </c>
    </row>
    <row r="60" spans="1:49" ht="15.75" thickBot="1">
      <c r="A60" s="4"/>
      <c r="B60" s="4"/>
      <c r="C60" s="4"/>
      <c r="D60" s="4"/>
      <c r="E60" s="4"/>
      <c r="F60" s="4" t="s">
        <v>161</v>
      </c>
      <c r="G60" s="9">
        <v>17406.060000000001</v>
      </c>
      <c r="H60" s="6"/>
      <c r="I60" s="9">
        <v>0</v>
      </c>
      <c r="J60" s="6"/>
      <c r="K60" s="9">
        <v>0</v>
      </c>
      <c r="L60" s="6"/>
      <c r="M60" s="9">
        <v>0</v>
      </c>
      <c r="N60" s="6"/>
      <c r="O60" s="9">
        <v>0</v>
      </c>
      <c r="P60" s="6"/>
      <c r="Q60" s="9">
        <v>0</v>
      </c>
      <c r="R60" s="6"/>
      <c r="S60" s="9">
        <v>0</v>
      </c>
      <c r="T60" s="6"/>
      <c r="U60" s="9">
        <v>0</v>
      </c>
      <c r="V60" s="6"/>
      <c r="W60" s="9">
        <v>0</v>
      </c>
      <c r="X60" s="6"/>
      <c r="Y60" s="9">
        <v>0</v>
      </c>
      <c r="Z60" s="6"/>
      <c r="AA60" s="9">
        <v>0</v>
      </c>
      <c r="AB60" s="6"/>
      <c r="AC60" s="9">
        <v>0</v>
      </c>
      <c r="AD60" s="6"/>
      <c r="AE60" s="9">
        <v>0</v>
      </c>
      <c r="AF60" s="6"/>
      <c r="AG60" s="9">
        <v>0</v>
      </c>
      <c r="AH60" s="6"/>
      <c r="AI60" s="9">
        <v>0</v>
      </c>
      <c r="AJ60" s="6"/>
      <c r="AK60" s="9">
        <v>0</v>
      </c>
      <c r="AL60" s="6"/>
      <c r="AM60" s="9">
        <v>0</v>
      </c>
      <c r="AN60" s="6"/>
      <c r="AO60" s="9">
        <v>0</v>
      </c>
      <c r="AP60" s="6"/>
      <c r="AQ60" s="9">
        <v>0</v>
      </c>
      <c r="AR60" s="6"/>
      <c r="AS60" s="9">
        <v>0</v>
      </c>
      <c r="AT60" s="6"/>
      <c r="AU60" s="9">
        <v>0</v>
      </c>
      <c r="AV60" s="6"/>
      <c r="AW60" s="9">
        <f>ROUND(SUM(G60:AU60),5)</f>
        <v>17406.060000000001</v>
      </c>
    </row>
    <row r="61" spans="1:49">
      <c r="A61" s="4"/>
      <c r="B61" s="4"/>
      <c r="C61" s="4"/>
      <c r="D61" s="4"/>
      <c r="E61" s="4" t="s">
        <v>162</v>
      </c>
      <c r="F61" s="4"/>
      <c r="G61" s="7">
        <f>ROUND(SUM(G53:G60),5)</f>
        <v>14072.68</v>
      </c>
      <c r="H61" s="6"/>
      <c r="I61" s="7">
        <f>ROUND(SUM(I53:I60),5)</f>
        <v>3767.75</v>
      </c>
      <c r="J61" s="6"/>
      <c r="K61" s="7">
        <f>ROUND(SUM(K53:K60),5)</f>
        <v>0</v>
      </c>
      <c r="L61" s="6"/>
      <c r="M61" s="7">
        <f>ROUND(SUM(M53:M60),5)</f>
        <v>0</v>
      </c>
      <c r="N61" s="6"/>
      <c r="O61" s="7">
        <f>ROUND(SUM(O53:O60),5)</f>
        <v>0</v>
      </c>
      <c r="P61" s="6"/>
      <c r="Q61" s="7">
        <f>ROUND(SUM(Q53:Q60),5)</f>
        <v>0</v>
      </c>
      <c r="R61" s="6"/>
      <c r="S61" s="7">
        <f>ROUND(SUM(S53:S60),5)</f>
        <v>0</v>
      </c>
      <c r="T61" s="6"/>
      <c r="U61" s="7">
        <f>ROUND(SUM(U53:U60),5)</f>
        <v>0</v>
      </c>
      <c r="V61" s="6"/>
      <c r="W61" s="7">
        <f>ROUND(SUM(W53:W60),5)</f>
        <v>0</v>
      </c>
      <c r="X61" s="6"/>
      <c r="Y61" s="7">
        <f>ROUND(SUM(Y53:Y60),5)</f>
        <v>0</v>
      </c>
      <c r="Z61" s="6"/>
      <c r="AA61" s="7">
        <f>ROUND(SUM(AA53:AA60),5)</f>
        <v>0</v>
      </c>
      <c r="AB61" s="6"/>
      <c r="AC61" s="7">
        <f>ROUND(SUM(AC53:AC60),5)</f>
        <v>0</v>
      </c>
      <c r="AD61" s="6"/>
      <c r="AE61" s="7">
        <f>ROUND(SUM(AE53:AE60),5)</f>
        <v>0</v>
      </c>
      <c r="AF61" s="6"/>
      <c r="AG61" s="7">
        <f>ROUND(SUM(AG53:AG60),5)</f>
        <v>0</v>
      </c>
      <c r="AH61" s="6"/>
      <c r="AI61" s="7">
        <f>ROUND(SUM(AI53:AI60),5)</f>
        <v>0</v>
      </c>
      <c r="AJ61" s="6"/>
      <c r="AK61" s="7">
        <f>ROUND(SUM(AK53:AK60),5)</f>
        <v>0</v>
      </c>
      <c r="AL61" s="6"/>
      <c r="AM61" s="7">
        <f>ROUND(SUM(AM53:AM60),5)</f>
        <v>25380.21</v>
      </c>
      <c r="AN61" s="6"/>
      <c r="AO61" s="7">
        <f>ROUND(SUM(AO53:AO60),5)</f>
        <v>0</v>
      </c>
      <c r="AP61" s="6"/>
      <c r="AQ61" s="7">
        <f>ROUND(SUM(AQ53:AQ60),5)</f>
        <v>0</v>
      </c>
      <c r="AR61" s="6"/>
      <c r="AS61" s="7">
        <f>ROUND(SUM(AS53:AS60),5)</f>
        <v>0</v>
      </c>
      <c r="AT61" s="6"/>
      <c r="AU61" s="7">
        <f>ROUND(SUM(AU53:AU60),5)</f>
        <v>45217.35</v>
      </c>
      <c r="AV61" s="6"/>
      <c r="AW61" s="7">
        <f>ROUND(SUM(G61:AU61),5)</f>
        <v>88437.99</v>
      </c>
    </row>
    <row r="62" spans="1:49">
      <c r="A62" s="4"/>
      <c r="B62" s="4"/>
      <c r="C62" s="4"/>
      <c r="D62" s="4"/>
      <c r="E62" s="4" t="s">
        <v>163</v>
      </c>
      <c r="F62" s="4"/>
      <c r="G62" s="7"/>
      <c r="H62" s="6"/>
      <c r="I62" s="7"/>
      <c r="J62" s="6"/>
      <c r="K62" s="7"/>
      <c r="L62" s="6"/>
      <c r="M62" s="7"/>
      <c r="N62" s="6"/>
      <c r="O62" s="7"/>
      <c r="P62" s="6"/>
      <c r="Q62" s="7"/>
      <c r="R62" s="6"/>
      <c r="S62" s="7"/>
      <c r="T62" s="6"/>
      <c r="U62" s="7"/>
      <c r="V62" s="6"/>
      <c r="W62" s="7"/>
      <c r="X62" s="6"/>
      <c r="Y62" s="7"/>
      <c r="Z62" s="6"/>
      <c r="AA62" s="7"/>
      <c r="AB62" s="6"/>
      <c r="AC62" s="7"/>
      <c r="AD62" s="6"/>
      <c r="AE62" s="7"/>
      <c r="AF62" s="6"/>
      <c r="AG62" s="7"/>
      <c r="AH62" s="6"/>
      <c r="AI62" s="7"/>
      <c r="AJ62" s="6"/>
      <c r="AK62" s="7"/>
      <c r="AL62" s="6"/>
      <c r="AM62" s="7"/>
      <c r="AN62" s="6"/>
      <c r="AO62" s="7"/>
      <c r="AP62" s="6"/>
      <c r="AQ62" s="7"/>
      <c r="AR62" s="6"/>
      <c r="AS62" s="7"/>
      <c r="AT62" s="6"/>
      <c r="AU62" s="7"/>
      <c r="AV62" s="6"/>
      <c r="AW62" s="7"/>
    </row>
    <row r="63" spans="1:49" ht="15.75" thickBot="1">
      <c r="A63" s="4"/>
      <c r="B63" s="4"/>
      <c r="C63" s="4"/>
      <c r="D63" s="4"/>
      <c r="E63" s="4"/>
      <c r="F63" s="4" t="s">
        <v>164</v>
      </c>
      <c r="G63" s="9">
        <v>2204</v>
      </c>
      <c r="H63" s="6"/>
      <c r="I63" s="9">
        <v>0</v>
      </c>
      <c r="J63" s="6"/>
      <c r="K63" s="9">
        <v>0</v>
      </c>
      <c r="L63" s="6"/>
      <c r="M63" s="9">
        <v>0</v>
      </c>
      <c r="N63" s="6"/>
      <c r="O63" s="9">
        <v>0</v>
      </c>
      <c r="P63" s="6"/>
      <c r="Q63" s="9">
        <v>0</v>
      </c>
      <c r="R63" s="6"/>
      <c r="S63" s="9">
        <v>0</v>
      </c>
      <c r="T63" s="6"/>
      <c r="U63" s="9">
        <v>0</v>
      </c>
      <c r="V63" s="6"/>
      <c r="W63" s="9">
        <v>0</v>
      </c>
      <c r="X63" s="6"/>
      <c r="Y63" s="9">
        <v>0</v>
      </c>
      <c r="Z63" s="6"/>
      <c r="AA63" s="9">
        <v>0</v>
      </c>
      <c r="AB63" s="6"/>
      <c r="AC63" s="9">
        <v>0</v>
      </c>
      <c r="AD63" s="6"/>
      <c r="AE63" s="9">
        <v>0</v>
      </c>
      <c r="AF63" s="6"/>
      <c r="AG63" s="9">
        <v>0</v>
      </c>
      <c r="AH63" s="6"/>
      <c r="AI63" s="9">
        <v>0</v>
      </c>
      <c r="AJ63" s="6"/>
      <c r="AK63" s="9">
        <v>0</v>
      </c>
      <c r="AL63" s="6"/>
      <c r="AM63" s="9">
        <v>0</v>
      </c>
      <c r="AN63" s="6"/>
      <c r="AO63" s="9">
        <v>0</v>
      </c>
      <c r="AP63" s="6"/>
      <c r="AQ63" s="9">
        <v>0</v>
      </c>
      <c r="AR63" s="6"/>
      <c r="AS63" s="9">
        <v>0</v>
      </c>
      <c r="AT63" s="6"/>
      <c r="AU63" s="9">
        <v>0</v>
      </c>
      <c r="AV63" s="6"/>
      <c r="AW63" s="9">
        <f>ROUND(SUM(G63:AU63),5)</f>
        <v>2204</v>
      </c>
    </row>
    <row r="64" spans="1:49">
      <c r="A64" s="4"/>
      <c r="B64" s="4"/>
      <c r="C64" s="4"/>
      <c r="D64" s="4"/>
      <c r="E64" s="4" t="s">
        <v>165</v>
      </c>
      <c r="F64" s="4"/>
      <c r="G64" s="7">
        <f>ROUND(SUM(G62:G63),5)</f>
        <v>2204</v>
      </c>
      <c r="H64" s="6"/>
      <c r="I64" s="7">
        <f>ROUND(SUM(I62:I63),5)</f>
        <v>0</v>
      </c>
      <c r="J64" s="6"/>
      <c r="K64" s="7">
        <f>ROUND(SUM(K62:K63),5)</f>
        <v>0</v>
      </c>
      <c r="L64" s="6"/>
      <c r="M64" s="7">
        <f>ROUND(SUM(M62:M63),5)</f>
        <v>0</v>
      </c>
      <c r="N64" s="6"/>
      <c r="O64" s="7">
        <f>ROUND(SUM(O62:O63),5)</f>
        <v>0</v>
      </c>
      <c r="P64" s="6"/>
      <c r="Q64" s="7">
        <f>ROUND(SUM(Q62:Q63),5)</f>
        <v>0</v>
      </c>
      <c r="R64" s="6"/>
      <c r="S64" s="7">
        <f>ROUND(SUM(S62:S63),5)</f>
        <v>0</v>
      </c>
      <c r="T64" s="6"/>
      <c r="U64" s="7">
        <f>ROUND(SUM(U62:U63),5)</f>
        <v>0</v>
      </c>
      <c r="V64" s="6"/>
      <c r="W64" s="7">
        <f>ROUND(SUM(W62:W63),5)</f>
        <v>0</v>
      </c>
      <c r="X64" s="6"/>
      <c r="Y64" s="7">
        <f>ROUND(SUM(Y62:Y63),5)</f>
        <v>0</v>
      </c>
      <c r="Z64" s="6"/>
      <c r="AA64" s="7">
        <f>ROUND(SUM(AA62:AA63),5)</f>
        <v>0</v>
      </c>
      <c r="AB64" s="6"/>
      <c r="AC64" s="7">
        <f>ROUND(SUM(AC62:AC63),5)</f>
        <v>0</v>
      </c>
      <c r="AD64" s="6"/>
      <c r="AE64" s="7">
        <f>ROUND(SUM(AE62:AE63),5)</f>
        <v>0</v>
      </c>
      <c r="AF64" s="6"/>
      <c r="AG64" s="7">
        <f>ROUND(SUM(AG62:AG63),5)</f>
        <v>0</v>
      </c>
      <c r="AH64" s="6"/>
      <c r="AI64" s="7">
        <f>ROUND(SUM(AI62:AI63),5)</f>
        <v>0</v>
      </c>
      <c r="AJ64" s="6"/>
      <c r="AK64" s="7">
        <f>ROUND(SUM(AK62:AK63),5)</f>
        <v>0</v>
      </c>
      <c r="AL64" s="6"/>
      <c r="AM64" s="7">
        <f>ROUND(SUM(AM62:AM63),5)</f>
        <v>0</v>
      </c>
      <c r="AN64" s="6"/>
      <c r="AO64" s="7">
        <f>ROUND(SUM(AO62:AO63),5)</f>
        <v>0</v>
      </c>
      <c r="AP64" s="6"/>
      <c r="AQ64" s="7">
        <f>ROUND(SUM(AQ62:AQ63),5)</f>
        <v>0</v>
      </c>
      <c r="AR64" s="6"/>
      <c r="AS64" s="7">
        <f>ROUND(SUM(AS62:AS63),5)</f>
        <v>0</v>
      </c>
      <c r="AT64" s="6"/>
      <c r="AU64" s="7">
        <f>ROUND(SUM(AU62:AU63),5)</f>
        <v>0</v>
      </c>
      <c r="AV64" s="6"/>
      <c r="AW64" s="7">
        <f>ROUND(SUM(G64:AU64),5)</f>
        <v>2204</v>
      </c>
    </row>
    <row r="65" spans="1:49">
      <c r="A65" s="4"/>
      <c r="B65" s="4"/>
      <c r="C65" s="4"/>
      <c r="D65" s="4"/>
      <c r="E65" s="4" t="s">
        <v>166</v>
      </c>
      <c r="F65" s="4"/>
      <c r="G65" s="7"/>
      <c r="H65" s="6"/>
      <c r="I65" s="7"/>
      <c r="J65" s="6"/>
      <c r="K65" s="7"/>
      <c r="L65" s="6"/>
      <c r="M65" s="7"/>
      <c r="N65" s="6"/>
      <c r="O65" s="7"/>
      <c r="P65" s="6"/>
      <c r="Q65" s="7"/>
      <c r="R65" s="6"/>
      <c r="S65" s="7"/>
      <c r="T65" s="6"/>
      <c r="U65" s="7"/>
      <c r="V65" s="6"/>
      <c r="W65" s="7"/>
      <c r="X65" s="6"/>
      <c r="Y65" s="7"/>
      <c r="Z65" s="6"/>
      <c r="AA65" s="7"/>
      <c r="AB65" s="6"/>
      <c r="AC65" s="7"/>
      <c r="AD65" s="6"/>
      <c r="AE65" s="7"/>
      <c r="AF65" s="6"/>
      <c r="AG65" s="7"/>
      <c r="AH65" s="6"/>
      <c r="AI65" s="7"/>
      <c r="AJ65" s="6"/>
      <c r="AK65" s="7"/>
      <c r="AL65" s="6"/>
      <c r="AM65" s="7"/>
      <c r="AN65" s="6"/>
      <c r="AO65" s="7"/>
      <c r="AP65" s="6"/>
      <c r="AQ65" s="7"/>
      <c r="AR65" s="6"/>
      <c r="AS65" s="7"/>
      <c r="AT65" s="6"/>
      <c r="AU65" s="7"/>
      <c r="AV65" s="6"/>
      <c r="AW65" s="7"/>
    </row>
    <row r="66" spans="1:49">
      <c r="A66" s="4"/>
      <c r="B66" s="4"/>
      <c r="C66" s="4"/>
      <c r="D66" s="4"/>
      <c r="E66" s="4"/>
      <c r="F66" s="4" t="s">
        <v>167</v>
      </c>
      <c r="G66" s="7">
        <v>-68036.22</v>
      </c>
      <c r="H66" s="6"/>
      <c r="I66" s="7">
        <v>3600</v>
      </c>
      <c r="J66" s="6"/>
      <c r="K66" s="7">
        <v>0</v>
      </c>
      <c r="L66" s="6"/>
      <c r="M66" s="7">
        <v>0</v>
      </c>
      <c r="N66" s="6"/>
      <c r="O66" s="7">
        <v>0</v>
      </c>
      <c r="P66" s="6"/>
      <c r="Q66" s="7">
        <v>0</v>
      </c>
      <c r="R66" s="6"/>
      <c r="S66" s="7">
        <v>0</v>
      </c>
      <c r="T66" s="6"/>
      <c r="U66" s="7">
        <v>0</v>
      </c>
      <c r="V66" s="6"/>
      <c r="W66" s="7">
        <v>0</v>
      </c>
      <c r="X66" s="6"/>
      <c r="Y66" s="7">
        <v>0</v>
      </c>
      <c r="Z66" s="6"/>
      <c r="AA66" s="7">
        <v>0</v>
      </c>
      <c r="AB66" s="6"/>
      <c r="AC66" s="7">
        <v>0</v>
      </c>
      <c r="AD66" s="6"/>
      <c r="AE66" s="7">
        <v>0</v>
      </c>
      <c r="AF66" s="6"/>
      <c r="AG66" s="7">
        <v>0</v>
      </c>
      <c r="AH66" s="6"/>
      <c r="AI66" s="7">
        <v>0</v>
      </c>
      <c r="AJ66" s="6"/>
      <c r="AK66" s="7">
        <v>0</v>
      </c>
      <c r="AL66" s="6"/>
      <c r="AM66" s="7">
        <v>0</v>
      </c>
      <c r="AN66" s="6"/>
      <c r="AO66" s="7">
        <v>0</v>
      </c>
      <c r="AP66" s="6"/>
      <c r="AQ66" s="7">
        <v>0</v>
      </c>
      <c r="AR66" s="6"/>
      <c r="AS66" s="7">
        <v>0</v>
      </c>
      <c r="AT66" s="6"/>
      <c r="AU66" s="7">
        <v>68036.22</v>
      </c>
      <c r="AV66" s="6"/>
      <c r="AW66" s="7">
        <f>ROUND(SUM(G66:AU66),5)</f>
        <v>3600</v>
      </c>
    </row>
    <row r="67" spans="1:49">
      <c r="A67" s="4"/>
      <c r="B67" s="4"/>
      <c r="C67" s="4"/>
      <c r="D67" s="4"/>
      <c r="E67" s="4"/>
      <c r="F67" s="4" t="s">
        <v>168</v>
      </c>
      <c r="G67" s="7">
        <v>28376.84</v>
      </c>
      <c r="H67" s="6"/>
      <c r="I67" s="7">
        <v>0</v>
      </c>
      <c r="J67" s="6"/>
      <c r="K67" s="7">
        <v>0</v>
      </c>
      <c r="L67" s="6"/>
      <c r="M67" s="7">
        <v>0</v>
      </c>
      <c r="N67" s="6"/>
      <c r="O67" s="7">
        <v>0</v>
      </c>
      <c r="P67" s="6"/>
      <c r="Q67" s="7">
        <v>0</v>
      </c>
      <c r="R67" s="6"/>
      <c r="S67" s="7">
        <v>0</v>
      </c>
      <c r="T67" s="6"/>
      <c r="U67" s="7">
        <v>0</v>
      </c>
      <c r="V67" s="6"/>
      <c r="W67" s="7">
        <v>0</v>
      </c>
      <c r="X67" s="6"/>
      <c r="Y67" s="7">
        <v>0</v>
      </c>
      <c r="Z67" s="6"/>
      <c r="AA67" s="7">
        <v>0</v>
      </c>
      <c r="AB67" s="6"/>
      <c r="AC67" s="7">
        <v>0</v>
      </c>
      <c r="AD67" s="6"/>
      <c r="AE67" s="7">
        <v>0</v>
      </c>
      <c r="AF67" s="6"/>
      <c r="AG67" s="7">
        <v>0</v>
      </c>
      <c r="AH67" s="6"/>
      <c r="AI67" s="7">
        <v>0</v>
      </c>
      <c r="AJ67" s="6"/>
      <c r="AK67" s="7">
        <v>0</v>
      </c>
      <c r="AL67" s="6"/>
      <c r="AM67" s="7">
        <v>0</v>
      </c>
      <c r="AN67" s="6"/>
      <c r="AO67" s="7">
        <v>0</v>
      </c>
      <c r="AP67" s="6"/>
      <c r="AQ67" s="7">
        <v>0</v>
      </c>
      <c r="AR67" s="6"/>
      <c r="AS67" s="7">
        <v>0</v>
      </c>
      <c r="AT67" s="6"/>
      <c r="AU67" s="7">
        <v>0</v>
      </c>
      <c r="AV67" s="6"/>
      <c r="AW67" s="7">
        <f>ROUND(SUM(G67:AU67),5)</f>
        <v>28376.84</v>
      </c>
    </row>
    <row r="68" spans="1:49">
      <c r="A68" s="4"/>
      <c r="B68" s="4"/>
      <c r="C68" s="4"/>
      <c r="D68" s="4"/>
      <c r="E68" s="4"/>
      <c r="F68" s="4" t="s">
        <v>170</v>
      </c>
      <c r="G68" s="7">
        <v>-5107.91</v>
      </c>
      <c r="H68" s="6"/>
      <c r="I68" s="7">
        <v>275.39999999999998</v>
      </c>
      <c r="J68" s="6"/>
      <c r="K68" s="7">
        <v>0</v>
      </c>
      <c r="L68" s="6"/>
      <c r="M68" s="7">
        <v>0</v>
      </c>
      <c r="N68" s="6"/>
      <c r="O68" s="7">
        <v>0</v>
      </c>
      <c r="P68" s="6"/>
      <c r="Q68" s="7">
        <v>0</v>
      </c>
      <c r="R68" s="6"/>
      <c r="S68" s="7">
        <v>0</v>
      </c>
      <c r="T68" s="6"/>
      <c r="U68" s="7">
        <v>0</v>
      </c>
      <c r="V68" s="6"/>
      <c r="W68" s="7">
        <v>0</v>
      </c>
      <c r="X68" s="6"/>
      <c r="Y68" s="7">
        <v>0</v>
      </c>
      <c r="Z68" s="6"/>
      <c r="AA68" s="7">
        <v>0</v>
      </c>
      <c r="AB68" s="6"/>
      <c r="AC68" s="7">
        <v>0</v>
      </c>
      <c r="AD68" s="6"/>
      <c r="AE68" s="7">
        <v>0</v>
      </c>
      <c r="AF68" s="6"/>
      <c r="AG68" s="7">
        <v>0</v>
      </c>
      <c r="AH68" s="6"/>
      <c r="AI68" s="7">
        <v>0</v>
      </c>
      <c r="AJ68" s="6"/>
      <c r="AK68" s="7">
        <v>0</v>
      </c>
      <c r="AL68" s="6"/>
      <c r="AM68" s="7">
        <v>0</v>
      </c>
      <c r="AN68" s="6"/>
      <c r="AO68" s="7">
        <v>0</v>
      </c>
      <c r="AP68" s="6"/>
      <c r="AQ68" s="7">
        <v>0</v>
      </c>
      <c r="AR68" s="6"/>
      <c r="AS68" s="7">
        <v>0</v>
      </c>
      <c r="AT68" s="6"/>
      <c r="AU68" s="7">
        <v>5204.63</v>
      </c>
      <c r="AV68" s="6"/>
      <c r="AW68" s="7">
        <f>ROUND(SUM(G68:AU68),5)</f>
        <v>372.12</v>
      </c>
    </row>
    <row r="69" spans="1:49">
      <c r="A69" s="4"/>
      <c r="B69" s="4"/>
      <c r="C69" s="4"/>
      <c r="D69" s="4"/>
      <c r="E69" s="4"/>
      <c r="F69" s="4" t="s">
        <v>171</v>
      </c>
      <c r="G69" s="7">
        <v>2288.73</v>
      </c>
      <c r="H69" s="6"/>
      <c r="I69" s="7">
        <v>0</v>
      </c>
      <c r="J69" s="6"/>
      <c r="K69" s="7">
        <v>0</v>
      </c>
      <c r="L69" s="6"/>
      <c r="M69" s="7">
        <v>0</v>
      </c>
      <c r="N69" s="6"/>
      <c r="O69" s="7">
        <v>0</v>
      </c>
      <c r="P69" s="6"/>
      <c r="Q69" s="7">
        <v>0</v>
      </c>
      <c r="R69" s="6"/>
      <c r="S69" s="7">
        <v>0</v>
      </c>
      <c r="T69" s="6"/>
      <c r="U69" s="7">
        <v>0</v>
      </c>
      <c r="V69" s="6"/>
      <c r="W69" s="7">
        <v>0</v>
      </c>
      <c r="X69" s="6"/>
      <c r="Y69" s="7">
        <v>0</v>
      </c>
      <c r="Z69" s="6"/>
      <c r="AA69" s="7">
        <v>0</v>
      </c>
      <c r="AB69" s="6"/>
      <c r="AC69" s="7">
        <v>0</v>
      </c>
      <c r="AD69" s="6"/>
      <c r="AE69" s="7">
        <v>0</v>
      </c>
      <c r="AF69" s="6"/>
      <c r="AG69" s="7">
        <v>0</v>
      </c>
      <c r="AH69" s="6"/>
      <c r="AI69" s="7">
        <v>0</v>
      </c>
      <c r="AJ69" s="6"/>
      <c r="AK69" s="7">
        <v>0</v>
      </c>
      <c r="AL69" s="6"/>
      <c r="AM69" s="7">
        <v>0</v>
      </c>
      <c r="AN69" s="6"/>
      <c r="AO69" s="7">
        <v>0</v>
      </c>
      <c r="AP69" s="6"/>
      <c r="AQ69" s="7">
        <v>0</v>
      </c>
      <c r="AR69" s="6"/>
      <c r="AS69" s="7">
        <v>0</v>
      </c>
      <c r="AT69" s="6"/>
      <c r="AU69" s="7">
        <v>0</v>
      </c>
      <c r="AV69" s="6"/>
      <c r="AW69" s="7">
        <f>ROUND(SUM(G69:AU69),5)</f>
        <v>2288.73</v>
      </c>
    </row>
    <row r="70" spans="1:49" ht="15.75" thickBot="1">
      <c r="A70" s="4"/>
      <c r="B70" s="4"/>
      <c r="C70" s="4"/>
      <c r="D70" s="4"/>
      <c r="E70" s="4"/>
      <c r="F70" s="4" t="s">
        <v>172</v>
      </c>
      <c r="G70" s="9">
        <v>2602.0500000000002</v>
      </c>
      <c r="H70" s="6"/>
      <c r="I70" s="9">
        <v>0</v>
      </c>
      <c r="J70" s="6"/>
      <c r="K70" s="9">
        <v>0</v>
      </c>
      <c r="L70" s="6"/>
      <c r="M70" s="9">
        <v>0</v>
      </c>
      <c r="N70" s="6"/>
      <c r="O70" s="9">
        <v>0</v>
      </c>
      <c r="P70" s="6"/>
      <c r="Q70" s="9">
        <v>0</v>
      </c>
      <c r="R70" s="6"/>
      <c r="S70" s="9">
        <v>0</v>
      </c>
      <c r="T70" s="6"/>
      <c r="U70" s="9">
        <v>0</v>
      </c>
      <c r="V70" s="6"/>
      <c r="W70" s="9">
        <v>0</v>
      </c>
      <c r="X70" s="6"/>
      <c r="Y70" s="9">
        <v>0</v>
      </c>
      <c r="Z70" s="6"/>
      <c r="AA70" s="9">
        <v>0</v>
      </c>
      <c r="AB70" s="6"/>
      <c r="AC70" s="9">
        <v>0</v>
      </c>
      <c r="AD70" s="6"/>
      <c r="AE70" s="9">
        <v>0</v>
      </c>
      <c r="AF70" s="6"/>
      <c r="AG70" s="9">
        <v>0</v>
      </c>
      <c r="AH70" s="6"/>
      <c r="AI70" s="9">
        <v>0</v>
      </c>
      <c r="AJ70" s="6"/>
      <c r="AK70" s="9">
        <v>0</v>
      </c>
      <c r="AL70" s="6"/>
      <c r="AM70" s="9">
        <v>0</v>
      </c>
      <c r="AN70" s="6"/>
      <c r="AO70" s="9">
        <v>0</v>
      </c>
      <c r="AP70" s="6"/>
      <c r="AQ70" s="9">
        <v>0</v>
      </c>
      <c r="AR70" s="6"/>
      <c r="AS70" s="9">
        <v>0</v>
      </c>
      <c r="AT70" s="6"/>
      <c r="AU70" s="9">
        <v>0</v>
      </c>
      <c r="AV70" s="6"/>
      <c r="AW70" s="9">
        <f>ROUND(SUM(G70:AU70),5)</f>
        <v>2602.0500000000002</v>
      </c>
    </row>
    <row r="71" spans="1:49">
      <c r="A71" s="4"/>
      <c r="B71" s="4"/>
      <c r="C71" s="4"/>
      <c r="D71" s="4"/>
      <c r="E71" s="4" t="s">
        <v>174</v>
      </c>
      <c r="F71" s="4"/>
      <c r="G71" s="7">
        <f>ROUND(SUM(G65:G70),5)</f>
        <v>-39876.51</v>
      </c>
      <c r="H71" s="6"/>
      <c r="I71" s="7">
        <f>ROUND(SUM(I65:I70),5)</f>
        <v>3875.4</v>
      </c>
      <c r="J71" s="6"/>
      <c r="K71" s="7">
        <f>ROUND(SUM(K65:K70),5)</f>
        <v>0</v>
      </c>
      <c r="L71" s="6"/>
      <c r="M71" s="7">
        <f>ROUND(SUM(M65:M70),5)</f>
        <v>0</v>
      </c>
      <c r="N71" s="6"/>
      <c r="O71" s="7">
        <f>ROUND(SUM(O65:O70),5)</f>
        <v>0</v>
      </c>
      <c r="P71" s="6"/>
      <c r="Q71" s="7">
        <f>ROUND(SUM(Q65:Q70),5)</f>
        <v>0</v>
      </c>
      <c r="R71" s="6"/>
      <c r="S71" s="7">
        <f>ROUND(SUM(S65:S70),5)</f>
        <v>0</v>
      </c>
      <c r="T71" s="6"/>
      <c r="U71" s="7">
        <f>ROUND(SUM(U65:U70),5)</f>
        <v>0</v>
      </c>
      <c r="V71" s="6"/>
      <c r="W71" s="7">
        <f>ROUND(SUM(W65:W70),5)</f>
        <v>0</v>
      </c>
      <c r="X71" s="6"/>
      <c r="Y71" s="7">
        <f>ROUND(SUM(Y65:Y70),5)</f>
        <v>0</v>
      </c>
      <c r="Z71" s="6"/>
      <c r="AA71" s="7">
        <f>ROUND(SUM(AA65:AA70),5)</f>
        <v>0</v>
      </c>
      <c r="AB71" s="6"/>
      <c r="AC71" s="7">
        <f>ROUND(SUM(AC65:AC70),5)</f>
        <v>0</v>
      </c>
      <c r="AD71" s="6"/>
      <c r="AE71" s="7">
        <f>ROUND(SUM(AE65:AE70),5)</f>
        <v>0</v>
      </c>
      <c r="AF71" s="6"/>
      <c r="AG71" s="7">
        <f>ROUND(SUM(AG65:AG70),5)</f>
        <v>0</v>
      </c>
      <c r="AH71" s="6"/>
      <c r="AI71" s="7">
        <f>ROUND(SUM(AI65:AI70),5)</f>
        <v>0</v>
      </c>
      <c r="AJ71" s="6"/>
      <c r="AK71" s="7">
        <f>ROUND(SUM(AK65:AK70),5)</f>
        <v>0</v>
      </c>
      <c r="AL71" s="6"/>
      <c r="AM71" s="7">
        <f>ROUND(SUM(AM65:AM70),5)</f>
        <v>0</v>
      </c>
      <c r="AN71" s="6"/>
      <c r="AO71" s="7">
        <f>ROUND(SUM(AO65:AO70),5)</f>
        <v>0</v>
      </c>
      <c r="AP71" s="6"/>
      <c r="AQ71" s="7">
        <f>ROUND(SUM(AQ65:AQ70),5)</f>
        <v>0</v>
      </c>
      <c r="AR71" s="6"/>
      <c r="AS71" s="7">
        <f>ROUND(SUM(AS65:AS70),5)</f>
        <v>0</v>
      </c>
      <c r="AT71" s="6"/>
      <c r="AU71" s="7">
        <f>ROUND(SUM(AU65:AU70),5)</f>
        <v>73240.850000000006</v>
      </c>
      <c r="AV71" s="6"/>
      <c r="AW71" s="7">
        <f>ROUND(SUM(G71:AU71),5)</f>
        <v>37239.74</v>
      </c>
    </row>
    <row r="72" spans="1:49">
      <c r="A72" s="4"/>
      <c r="B72" s="4"/>
      <c r="C72" s="4"/>
      <c r="D72" s="4"/>
      <c r="E72" s="4" t="s">
        <v>175</v>
      </c>
      <c r="F72" s="4"/>
      <c r="G72" s="7"/>
      <c r="H72" s="6"/>
      <c r="I72" s="7"/>
      <c r="J72" s="6"/>
      <c r="K72" s="7"/>
      <c r="L72" s="6"/>
      <c r="M72" s="7"/>
      <c r="N72" s="6"/>
      <c r="O72" s="7"/>
      <c r="P72" s="6"/>
      <c r="Q72" s="7"/>
      <c r="R72" s="6"/>
      <c r="S72" s="7"/>
      <c r="T72" s="6"/>
      <c r="U72" s="7"/>
      <c r="V72" s="6"/>
      <c r="W72" s="7"/>
      <c r="X72" s="6"/>
      <c r="Y72" s="7"/>
      <c r="Z72" s="6"/>
      <c r="AA72" s="7"/>
      <c r="AB72" s="6"/>
      <c r="AC72" s="7"/>
      <c r="AD72" s="6"/>
      <c r="AE72" s="7"/>
      <c r="AF72" s="6"/>
      <c r="AG72" s="7"/>
      <c r="AH72" s="6"/>
      <c r="AI72" s="7"/>
      <c r="AJ72" s="6"/>
      <c r="AK72" s="7"/>
      <c r="AL72" s="6"/>
      <c r="AM72" s="7"/>
      <c r="AN72" s="6"/>
      <c r="AO72" s="7"/>
      <c r="AP72" s="6"/>
      <c r="AQ72" s="7"/>
      <c r="AR72" s="6"/>
      <c r="AS72" s="7"/>
      <c r="AT72" s="6"/>
      <c r="AU72" s="7"/>
      <c r="AV72" s="6"/>
      <c r="AW72" s="7"/>
    </row>
    <row r="73" spans="1:49" ht="15.75" thickBot="1">
      <c r="A73" s="4"/>
      <c r="B73" s="4"/>
      <c r="C73" s="4"/>
      <c r="D73" s="4"/>
      <c r="E73" s="4"/>
      <c r="F73" s="4" t="s">
        <v>177</v>
      </c>
      <c r="G73" s="9">
        <v>2598.34</v>
      </c>
      <c r="H73" s="6"/>
      <c r="I73" s="9">
        <v>0</v>
      </c>
      <c r="J73" s="6"/>
      <c r="K73" s="9">
        <v>0</v>
      </c>
      <c r="L73" s="6"/>
      <c r="M73" s="9">
        <v>0</v>
      </c>
      <c r="N73" s="6"/>
      <c r="O73" s="9">
        <v>0</v>
      </c>
      <c r="P73" s="6"/>
      <c r="Q73" s="9">
        <v>0</v>
      </c>
      <c r="R73" s="6"/>
      <c r="S73" s="9">
        <v>0</v>
      </c>
      <c r="T73" s="6"/>
      <c r="U73" s="9">
        <v>0</v>
      </c>
      <c r="V73" s="6"/>
      <c r="W73" s="9">
        <v>0</v>
      </c>
      <c r="X73" s="6"/>
      <c r="Y73" s="9">
        <v>0</v>
      </c>
      <c r="Z73" s="6"/>
      <c r="AA73" s="9">
        <v>0</v>
      </c>
      <c r="AB73" s="6"/>
      <c r="AC73" s="9">
        <v>0</v>
      </c>
      <c r="AD73" s="6"/>
      <c r="AE73" s="9">
        <v>0</v>
      </c>
      <c r="AF73" s="6"/>
      <c r="AG73" s="9">
        <v>0</v>
      </c>
      <c r="AH73" s="6"/>
      <c r="AI73" s="9">
        <v>0</v>
      </c>
      <c r="AJ73" s="6"/>
      <c r="AK73" s="9">
        <v>0</v>
      </c>
      <c r="AL73" s="6"/>
      <c r="AM73" s="9">
        <v>0</v>
      </c>
      <c r="AN73" s="6"/>
      <c r="AO73" s="9">
        <v>0</v>
      </c>
      <c r="AP73" s="6"/>
      <c r="AQ73" s="9">
        <v>0</v>
      </c>
      <c r="AR73" s="6"/>
      <c r="AS73" s="9">
        <v>0</v>
      </c>
      <c r="AT73" s="6"/>
      <c r="AU73" s="9">
        <v>0</v>
      </c>
      <c r="AV73" s="6"/>
      <c r="AW73" s="9">
        <f>ROUND(SUM(G73:AU73),5)</f>
        <v>2598.34</v>
      </c>
    </row>
    <row r="74" spans="1:49">
      <c r="A74" s="4"/>
      <c r="B74" s="4"/>
      <c r="C74" s="4"/>
      <c r="D74" s="4"/>
      <c r="E74" s="4" t="s">
        <v>178</v>
      </c>
      <c r="F74" s="4"/>
      <c r="G74" s="7">
        <f>ROUND(SUM(G72:G73),5)</f>
        <v>2598.34</v>
      </c>
      <c r="H74" s="6"/>
      <c r="I74" s="7">
        <f>ROUND(SUM(I72:I73),5)</f>
        <v>0</v>
      </c>
      <c r="J74" s="6"/>
      <c r="K74" s="7">
        <f>ROUND(SUM(K72:K73),5)</f>
        <v>0</v>
      </c>
      <c r="L74" s="6"/>
      <c r="M74" s="7">
        <f>ROUND(SUM(M72:M73),5)</f>
        <v>0</v>
      </c>
      <c r="N74" s="6"/>
      <c r="O74" s="7">
        <f>ROUND(SUM(O72:O73),5)</f>
        <v>0</v>
      </c>
      <c r="P74" s="6"/>
      <c r="Q74" s="7">
        <f>ROUND(SUM(Q72:Q73),5)</f>
        <v>0</v>
      </c>
      <c r="R74" s="6"/>
      <c r="S74" s="7">
        <f>ROUND(SUM(S72:S73),5)</f>
        <v>0</v>
      </c>
      <c r="T74" s="6"/>
      <c r="U74" s="7">
        <f>ROUND(SUM(U72:U73),5)</f>
        <v>0</v>
      </c>
      <c r="V74" s="6"/>
      <c r="W74" s="7">
        <f>ROUND(SUM(W72:W73),5)</f>
        <v>0</v>
      </c>
      <c r="X74" s="6"/>
      <c r="Y74" s="7">
        <f>ROUND(SUM(Y72:Y73),5)</f>
        <v>0</v>
      </c>
      <c r="Z74" s="6"/>
      <c r="AA74" s="7">
        <f>ROUND(SUM(AA72:AA73),5)</f>
        <v>0</v>
      </c>
      <c r="AB74" s="6"/>
      <c r="AC74" s="7">
        <f>ROUND(SUM(AC72:AC73),5)</f>
        <v>0</v>
      </c>
      <c r="AD74" s="6"/>
      <c r="AE74" s="7">
        <f>ROUND(SUM(AE72:AE73),5)</f>
        <v>0</v>
      </c>
      <c r="AF74" s="6"/>
      <c r="AG74" s="7">
        <f>ROUND(SUM(AG72:AG73),5)</f>
        <v>0</v>
      </c>
      <c r="AH74" s="6"/>
      <c r="AI74" s="7">
        <f>ROUND(SUM(AI72:AI73),5)</f>
        <v>0</v>
      </c>
      <c r="AJ74" s="6"/>
      <c r="AK74" s="7">
        <f>ROUND(SUM(AK72:AK73),5)</f>
        <v>0</v>
      </c>
      <c r="AL74" s="6"/>
      <c r="AM74" s="7">
        <f>ROUND(SUM(AM72:AM73),5)</f>
        <v>0</v>
      </c>
      <c r="AN74" s="6"/>
      <c r="AO74" s="7">
        <f>ROUND(SUM(AO72:AO73),5)</f>
        <v>0</v>
      </c>
      <c r="AP74" s="6"/>
      <c r="AQ74" s="7">
        <f>ROUND(SUM(AQ72:AQ73),5)</f>
        <v>0</v>
      </c>
      <c r="AR74" s="6"/>
      <c r="AS74" s="7">
        <f>ROUND(SUM(AS72:AS73),5)</f>
        <v>0</v>
      </c>
      <c r="AT74" s="6"/>
      <c r="AU74" s="7">
        <f>ROUND(SUM(AU72:AU73),5)</f>
        <v>0</v>
      </c>
      <c r="AV74" s="6"/>
      <c r="AW74" s="7">
        <f>ROUND(SUM(G74:AU74),5)</f>
        <v>2598.34</v>
      </c>
    </row>
    <row r="75" spans="1:49">
      <c r="A75" s="4"/>
      <c r="B75" s="4"/>
      <c r="C75" s="4"/>
      <c r="D75" s="4"/>
      <c r="E75" s="4" t="s">
        <v>185</v>
      </c>
      <c r="F75" s="4"/>
      <c r="G75" s="7"/>
      <c r="H75" s="6"/>
      <c r="I75" s="7"/>
      <c r="J75" s="6"/>
      <c r="K75" s="7"/>
      <c r="L75" s="6"/>
      <c r="M75" s="7"/>
      <c r="N75" s="6"/>
      <c r="O75" s="7"/>
      <c r="P75" s="6"/>
      <c r="Q75" s="7"/>
      <c r="R75" s="6"/>
      <c r="S75" s="7"/>
      <c r="T75" s="6"/>
      <c r="U75" s="7"/>
      <c r="V75" s="6"/>
      <c r="W75" s="7"/>
      <c r="X75" s="6"/>
      <c r="Y75" s="7"/>
      <c r="Z75" s="6"/>
      <c r="AA75" s="7"/>
      <c r="AB75" s="6"/>
      <c r="AC75" s="7"/>
      <c r="AD75" s="6"/>
      <c r="AE75" s="7"/>
      <c r="AF75" s="6"/>
      <c r="AG75" s="7"/>
      <c r="AH75" s="6"/>
      <c r="AI75" s="7"/>
      <c r="AJ75" s="6"/>
      <c r="AK75" s="7"/>
      <c r="AL75" s="6"/>
      <c r="AM75" s="7"/>
      <c r="AN75" s="6"/>
      <c r="AO75" s="7"/>
      <c r="AP75" s="6"/>
      <c r="AQ75" s="7"/>
      <c r="AR75" s="6"/>
      <c r="AS75" s="7"/>
      <c r="AT75" s="6"/>
      <c r="AU75" s="7"/>
      <c r="AV75" s="6"/>
      <c r="AW75" s="7"/>
    </row>
    <row r="76" spans="1:49">
      <c r="A76" s="4"/>
      <c r="B76" s="4"/>
      <c r="C76" s="4"/>
      <c r="D76" s="4"/>
      <c r="E76" s="4"/>
      <c r="F76" s="4" t="s">
        <v>186</v>
      </c>
      <c r="G76" s="7">
        <v>1990</v>
      </c>
      <c r="H76" s="6"/>
      <c r="I76" s="7">
        <v>0</v>
      </c>
      <c r="J76" s="6"/>
      <c r="K76" s="7">
        <v>0</v>
      </c>
      <c r="L76" s="6"/>
      <c r="M76" s="7">
        <v>0</v>
      </c>
      <c r="N76" s="6"/>
      <c r="O76" s="7">
        <v>0</v>
      </c>
      <c r="P76" s="6"/>
      <c r="Q76" s="7">
        <v>0</v>
      </c>
      <c r="R76" s="6"/>
      <c r="S76" s="7">
        <v>0</v>
      </c>
      <c r="T76" s="6"/>
      <c r="U76" s="7">
        <v>0</v>
      </c>
      <c r="V76" s="6"/>
      <c r="W76" s="7">
        <v>0</v>
      </c>
      <c r="X76" s="6"/>
      <c r="Y76" s="7">
        <v>0</v>
      </c>
      <c r="Z76" s="6"/>
      <c r="AA76" s="7">
        <v>0</v>
      </c>
      <c r="AB76" s="6"/>
      <c r="AC76" s="7">
        <v>0</v>
      </c>
      <c r="AD76" s="6"/>
      <c r="AE76" s="7">
        <v>0</v>
      </c>
      <c r="AF76" s="6"/>
      <c r="AG76" s="7">
        <v>0</v>
      </c>
      <c r="AH76" s="6"/>
      <c r="AI76" s="7">
        <v>0</v>
      </c>
      <c r="AJ76" s="6"/>
      <c r="AK76" s="7">
        <v>0</v>
      </c>
      <c r="AL76" s="6"/>
      <c r="AM76" s="7">
        <v>0</v>
      </c>
      <c r="AN76" s="6"/>
      <c r="AO76" s="7">
        <v>0</v>
      </c>
      <c r="AP76" s="6"/>
      <c r="AQ76" s="7">
        <v>0</v>
      </c>
      <c r="AR76" s="6"/>
      <c r="AS76" s="7">
        <v>0</v>
      </c>
      <c r="AT76" s="6"/>
      <c r="AU76" s="7">
        <v>0</v>
      </c>
      <c r="AV76" s="6"/>
      <c r="AW76" s="7">
        <f>ROUND(SUM(G76:AU76),5)</f>
        <v>1990</v>
      </c>
    </row>
    <row r="77" spans="1:49">
      <c r="A77" s="4"/>
      <c r="B77" s="4"/>
      <c r="C77" s="4"/>
      <c r="D77" s="4"/>
      <c r="E77" s="4"/>
      <c r="F77" s="4" t="s">
        <v>187</v>
      </c>
      <c r="G77" s="7">
        <v>12243.92</v>
      </c>
      <c r="H77" s="6"/>
      <c r="I77" s="7">
        <v>0</v>
      </c>
      <c r="J77" s="6"/>
      <c r="K77" s="7">
        <v>0</v>
      </c>
      <c r="L77" s="6"/>
      <c r="M77" s="7">
        <v>0</v>
      </c>
      <c r="N77" s="6"/>
      <c r="O77" s="7">
        <v>0</v>
      </c>
      <c r="P77" s="6"/>
      <c r="Q77" s="7">
        <v>0</v>
      </c>
      <c r="R77" s="6"/>
      <c r="S77" s="7">
        <v>0</v>
      </c>
      <c r="T77" s="6"/>
      <c r="U77" s="7">
        <v>0</v>
      </c>
      <c r="V77" s="6"/>
      <c r="W77" s="7">
        <v>0</v>
      </c>
      <c r="X77" s="6"/>
      <c r="Y77" s="7">
        <v>0</v>
      </c>
      <c r="Z77" s="6"/>
      <c r="AA77" s="7">
        <v>0</v>
      </c>
      <c r="AB77" s="6"/>
      <c r="AC77" s="7">
        <v>0</v>
      </c>
      <c r="AD77" s="6"/>
      <c r="AE77" s="7">
        <v>0</v>
      </c>
      <c r="AF77" s="6"/>
      <c r="AG77" s="7">
        <v>0</v>
      </c>
      <c r="AH77" s="6"/>
      <c r="AI77" s="7">
        <v>0</v>
      </c>
      <c r="AJ77" s="6"/>
      <c r="AK77" s="7">
        <v>0</v>
      </c>
      <c r="AL77" s="6"/>
      <c r="AM77" s="7">
        <v>0</v>
      </c>
      <c r="AN77" s="6"/>
      <c r="AO77" s="7">
        <v>0</v>
      </c>
      <c r="AP77" s="6"/>
      <c r="AQ77" s="7">
        <v>0</v>
      </c>
      <c r="AR77" s="6"/>
      <c r="AS77" s="7">
        <v>0</v>
      </c>
      <c r="AT77" s="6"/>
      <c r="AU77" s="7">
        <v>0</v>
      </c>
      <c r="AV77" s="6"/>
      <c r="AW77" s="7">
        <f>ROUND(SUM(G77:AU77),5)</f>
        <v>12243.92</v>
      </c>
    </row>
    <row r="78" spans="1:49" ht="15.75" thickBot="1">
      <c r="A78" s="4"/>
      <c r="B78" s="4"/>
      <c r="C78" s="4"/>
      <c r="D78" s="4"/>
      <c r="E78" s="4"/>
      <c r="F78" s="4" t="s">
        <v>190</v>
      </c>
      <c r="G78" s="9">
        <v>792.75</v>
      </c>
      <c r="H78" s="6"/>
      <c r="I78" s="9">
        <v>0</v>
      </c>
      <c r="J78" s="6"/>
      <c r="K78" s="9">
        <v>0</v>
      </c>
      <c r="L78" s="6"/>
      <c r="M78" s="9">
        <v>0</v>
      </c>
      <c r="N78" s="6"/>
      <c r="O78" s="9">
        <v>0</v>
      </c>
      <c r="P78" s="6"/>
      <c r="Q78" s="9">
        <v>0</v>
      </c>
      <c r="R78" s="6"/>
      <c r="S78" s="9">
        <v>0</v>
      </c>
      <c r="T78" s="6"/>
      <c r="U78" s="9">
        <v>0</v>
      </c>
      <c r="V78" s="6"/>
      <c r="W78" s="9">
        <v>0</v>
      </c>
      <c r="X78" s="6"/>
      <c r="Y78" s="9">
        <v>0</v>
      </c>
      <c r="Z78" s="6"/>
      <c r="AA78" s="9">
        <v>0</v>
      </c>
      <c r="AB78" s="6"/>
      <c r="AC78" s="9">
        <v>0</v>
      </c>
      <c r="AD78" s="6"/>
      <c r="AE78" s="9">
        <v>0</v>
      </c>
      <c r="AF78" s="6"/>
      <c r="AG78" s="9">
        <v>0</v>
      </c>
      <c r="AH78" s="6"/>
      <c r="AI78" s="9">
        <v>0</v>
      </c>
      <c r="AJ78" s="6"/>
      <c r="AK78" s="9">
        <v>0</v>
      </c>
      <c r="AL78" s="6"/>
      <c r="AM78" s="9">
        <v>0</v>
      </c>
      <c r="AN78" s="6"/>
      <c r="AO78" s="9">
        <v>0</v>
      </c>
      <c r="AP78" s="6"/>
      <c r="AQ78" s="9">
        <v>0</v>
      </c>
      <c r="AR78" s="6"/>
      <c r="AS78" s="9">
        <v>0</v>
      </c>
      <c r="AT78" s="6"/>
      <c r="AU78" s="9">
        <v>0</v>
      </c>
      <c r="AV78" s="6"/>
      <c r="AW78" s="9">
        <f>ROUND(SUM(G78:AU78),5)</f>
        <v>792.75</v>
      </c>
    </row>
    <row r="79" spans="1:49">
      <c r="A79" s="4"/>
      <c r="B79" s="4"/>
      <c r="C79" s="4"/>
      <c r="D79" s="4"/>
      <c r="E79" s="4" t="s">
        <v>191</v>
      </c>
      <c r="F79" s="4"/>
      <c r="G79" s="7">
        <f>ROUND(SUM(G75:G78),5)</f>
        <v>15026.67</v>
      </c>
      <c r="H79" s="6"/>
      <c r="I79" s="7">
        <f>ROUND(SUM(I75:I78),5)</f>
        <v>0</v>
      </c>
      <c r="J79" s="6"/>
      <c r="K79" s="7">
        <f>ROUND(SUM(K75:K78),5)</f>
        <v>0</v>
      </c>
      <c r="L79" s="6"/>
      <c r="M79" s="7">
        <f>ROUND(SUM(M75:M78),5)</f>
        <v>0</v>
      </c>
      <c r="N79" s="6"/>
      <c r="O79" s="7">
        <f>ROUND(SUM(O75:O78),5)</f>
        <v>0</v>
      </c>
      <c r="P79" s="6"/>
      <c r="Q79" s="7">
        <f>ROUND(SUM(Q75:Q78),5)</f>
        <v>0</v>
      </c>
      <c r="R79" s="6"/>
      <c r="S79" s="7">
        <f>ROUND(SUM(S75:S78),5)</f>
        <v>0</v>
      </c>
      <c r="T79" s="6"/>
      <c r="U79" s="7">
        <f>ROUND(SUM(U75:U78),5)</f>
        <v>0</v>
      </c>
      <c r="V79" s="6"/>
      <c r="W79" s="7">
        <f>ROUND(SUM(W75:W78),5)</f>
        <v>0</v>
      </c>
      <c r="X79" s="6"/>
      <c r="Y79" s="7">
        <f>ROUND(SUM(Y75:Y78),5)</f>
        <v>0</v>
      </c>
      <c r="Z79" s="6"/>
      <c r="AA79" s="7">
        <f>ROUND(SUM(AA75:AA78),5)</f>
        <v>0</v>
      </c>
      <c r="AB79" s="6"/>
      <c r="AC79" s="7">
        <f>ROUND(SUM(AC75:AC78),5)</f>
        <v>0</v>
      </c>
      <c r="AD79" s="6"/>
      <c r="AE79" s="7">
        <f>ROUND(SUM(AE75:AE78),5)</f>
        <v>0</v>
      </c>
      <c r="AF79" s="6"/>
      <c r="AG79" s="7">
        <f>ROUND(SUM(AG75:AG78),5)</f>
        <v>0</v>
      </c>
      <c r="AH79" s="6"/>
      <c r="AI79" s="7">
        <f>ROUND(SUM(AI75:AI78),5)</f>
        <v>0</v>
      </c>
      <c r="AJ79" s="6"/>
      <c r="AK79" s="7">
        <f>ROUND(SUM(AK75:AK78),5)</f>
        <v>0</v>
      </c>
      <c r="AL79" s="6"/>
      <c r="AM79" s="7">
        <f>ROUND(SUM(AM75:AM78),5)</f>
        <v>0</v>
      </c>
      <c r="AN79" s="6"/>
      <c r="AO79" s="7">
        <f>ROUND(SUM(AO75:AO78),5)</f>
        <v>0</v>
      </c>
      <c r="AP79" s="6"/>
      <c r="AQ79" s="7">
        <f>ROUND(SUM(AQ75:AQ78),5)</f>
        <v>0</v>
      </c>
      <c r="AR79" s="6"/>
      <c r="AS79" s="7">
        <f>ROUND(SUM(AS75:AS78),5)</f>
        <v>0</v>
      </c>
      <c r="AT79" s="6"/>
      <c r="AU79" s="7">
        <f>ROUND(SUM(AU75:AU78),5)</f>
        <v>0</v>
      </c>
      <c r="AV79" s="6"/>
      <c r="AW79" s="7">
        <f>ROUND(SUM(G79:AU79),5)</f>
        <v>15026.67</v>
      </c>
    </row>
    <row r="80" spans="1:49">
      <c r="A80" s="4"/>
      <c r="B80" s="4"/>
      <c r="C80" s="4"/>
      <c r="D80" s="4"/>
      <c r="E80" s="4" t="s">
        <v>192</v>
      </c>
      <c r="F80" s="4"/>
      <c r="G80" s="7"/>
      <c r="H80" s="6"/>
      <c r="I80" s="7"/>
      <c r="J80" s="6"/>
      <c r="K80" s="7"/>
      <c r="L80" s="6"/>
      <c r="M80" s="7"/>
      <c r="N80" s="6"/>
      <c r="O80" s="7"/>
      <c r="P80" s="6"/>
      <c r="Q80" s="7"/>
      <c r="R80" s="6"/>
      <c r="S80" s="7"/>
      <c r="T80" s="6"/>
      <c r="U80" s="7"/>
      <c r="V80" s="6"/>
      <c r="W80" s="7"/>
      <c r="X80" s="6"/>
      <c r="Y80" s="7"/>
      <c r="Z80" s="6"/>
      <c r="AA80" s="7"/>
      <c r="AB80" s="6"/>
      <c r="AC80" s="7"/>
      <c r="AD80" s="6"/>
      <c r="AE80" s="7"/>
      <c r="AF80" s="6"/>
      <c r="AG80" s="7"/>
      <c r="AH80" s="6"/>
      <c r="AI80" s="7"/>
      <c r="AJ80" s="6"/>
      <c r="AK80" s="7"/>
      <c r="AL80" s="6"/>
      <c r="AM80" s="7"/>
      <c r="AN80" s="6"/>
      <c r="AO80" s="7"/>
      <c r="AP80" s="6"/>
      <c r="AQ80" s="7"/>
      <c r="AR80" s="6"/>
      <c r="AS80" s="7"/>
      <c r="AT80" s="6"/>
      <c r="AU80" s="7"/>
      <c r="AV80" s="6"/>
      <c r="AW80" s="7"/>
    </row>
    <row r="81" spans="1:49">
      <c r="A81" s="4"/>
      <c r="B81" s="4"/>
      <c r="C81" s="4"/>
      <c r="D81" s="4"/>
      <c r="E81" s="4"/>
      <c r="F81" s="4" t="s">
        <v>193</v>
      </c>
      <c r="G81" s="7">
        <v>0</v>
      </c>
      <c r="H81" s="6"/>
      <c r="I81" s="7">
        <v>0</v>
      </c>
      <c r="J81" s="6"/>
      <c r="K81" s="7">
        <v>0</v>
      </c>
      <c r="L81" s="6"/>
      <c r="M81" s="7">
        <v>0</v>
      </c>
      <c r="N81" s="6"/>
      <c r="O81" s="7">
        <v>0</v>
      </c>
      <c r="P81" s="6"/>
      <c r="Q81" s="7">
        <v>0</v>
      </c>
      <c r="R81" s="6"/>
      <c r="S81" s="7">
        <v>0</v>
      </c>
      <c r="T81" s="6"/>
      <c r="U81" s="7">
        <v>0</v>
      </c>
      <c r="V81" s="6"/>
      <c r="W81" s="7">
        <v>0</v>
      </c>
      <c r="X81" s="6"/>
      <c r="Y81" s="7">
        <v>8201</v>
      </c>
      <c r="Z81" s="6"/>
      <c r="AA81" s="7">
        <v>0</v>
      </c>
      <c r="AB81" s="6"/>
      <c r="AC81" s="7">
        <v>0</v>
      </c>
      <c r="AD81" s="6"/>
      <c r="AE81" s="7">
        <v>0</v>
      </c>
      <c r="AF81" s="6"/>
      <c r="AG81" s="7">
        <v>0</v>
      </c>
      <c r="AH81" s="6"/>
      <c r="AI81" s="7">
        <v>0</v>
      </c>
      <c r="AJ81" s="6"/>
      <c r="AK81" s="7">
        <v>0</v>
      </c>
      <c r="AL81" s="6"/>
      <c r="AM81" s="7">
        <v>0</v>
      </c>
      <c r="AN81" s="6"/>
      <c r="AO81" s="7">
        <v>0</v>
      </c>
      <c r="AP81" s="6"/>
      <c r="AQ81" s="7">
        <v>0</v>
      </c>
      <c r="AR81" s="6"/>
      <c r="AS81" s="7">
        <v>0</v>
      </c>
      <c r="AT81" s="6"/>
      <c r="AU81" s="7">
        <v>0</v>
      </c>
      <c r="AV81" s="6"/>
      <c r="AW81" s="7">
        <f>ROUND(SUM(G81:AU81),5)</f>
        <v>8201</v>
      </c>
    </row>
    <row r="82" spans="1:49" ht="15.75" thickBot="1">
      <c r="A82" s="4"/>
      <c r="B82" s="4"/>
      <c r="C82" s="4"/>
      <c r="D82" s="4"/>
      <c r="E82" s="4"/>
      <c r="F82" s="4" t="s">
        <v>194</v>
      </c>
      <c r="G82" s="9">
        <v>0</v>
      </c>
      <c r="H82" s="6"/>
      <c r="I82" s="9">
        <v>0</v>
      </c>
      <c r="J82" s="6"/>
      <c r="K82" s="9">
        <v>0</v>
      </c>
      <c r="L82" s="6"/>
      <c r="M82" s="9">
        <v>0</v>
      </c>
      <c r="N82" s="6"/>
      <c r="O82" s="9">
        <v>0</v>
      </c>
      <c r="P82" s="6"/>
      <c r="Q82" s="9">
        <v>0</v>
      </c>
      <c r="R82" s="6"/>
      <c r="S82" s="9">
        <v>0</v>
      </c>
      <c r="T82" s="6"/>
      <c r="U82" s="9">
        <v>0</v>
      </c>
      <c r="V82" s="6"/>
      <c r="W82" s="9">
        <v>0</v>
      </c>
      <c r="X82" s="6"/>
      <c r="Y82" s="9">
        <v>870</v>
      </c>
      <c r="Z82" s="6"/>
      <c r="AA82" s="9">
        <v>0</v>
      </c>
      <c r="AB82" s="6"/>
      <c r="AC82" s="9">
        <v>0</v>
      </c>
      <c r="AD82" s="6"/>
      <c r="AE82" s="9">
        <v>0</v>
      </c>
      <c r="AF82" s="6"/>
      <c r="AG82" s="9">
        <v>0</v>
      </c>
      <c r="AH82" s="6"/>
      <c r="AI82" s="9">
        <v>0</v>
      </c>
      <c r="AJ82" s="6"/>
      <c r="AK82" s="9">
        <v>0</v>
      </c>
      <c r="AL82" s="6"/>
      <c r="AM82" s="9">
        <v>0</v>
      </c>
      <c r="AN82" s="6"/>
      <c r="AO82" s="9">
        <v>0</v>
      </c>
      <c r="AP82" s="6"/>
      <c r="AQ82" s="9">
        <v>0</v>
      </c>
      <c r="AR82" s="6"/>
      <c r="AS82" s="9">
        <v>0</v>
      </c>
      <c r="AT82" s="6"/>
      <c r="AU82" s="9">
        <v>0</v>
      </c>
      <c r="AV82" s="6"/>
      <c r="AW82" s="9">
        <f>ROUND(SUM(G82:AU82),5)</f>
        <v>870</v>
      </c>
    </row>
    <row r="83" spans="1:49">
      <c r="A83" s="4"/>
      <c r="B83" s="4"/>
      <c r="C83" s="4"/>
      <c r="D83" s="4"/>
      <c r="E83" s="4" t="s">
        <v>195</v>
      </c>
      <c r="F83" s="4"/>
      <c r="G83" s="7">
        <f>ROUND(SUM(G80:G82),5)</f>
        <v>0</v>
      </c>
      <c r="H83" s="6"/>
      <c r="I83" s="7">
        <f>ROUND(SUM(I80:I82),5)</f>
        <v>0</v>
      </c>
      <c r="J83" s="6"/>
      <c r="K83" s="7">
        <f>ROUND(SUM(K80:K82),5)</f>
        <v>0</v>
      </c>
      <c r="L83" s="6"/>
      <c r="M83" s="7">
        <f>ROUND(SUM(M80:M82),5)</f>
        <v>0</v>
      </c>
      <c r="N83" s="6"/>
      <c r="O83" s="7">
        <f>ROUND(SUM(O80:O82),5)</f>
        <v>0</v>
      </c>
      <c r="P83" s="6"/>
      <c r="Q83" s="7">
        <f>ROUND(SUM(Q80:Q82),5)</f>
        <v>0</v>
      </c>
      <c r="R83" s="6"/>
      <c r="S83" s="7">
        <f>ROUND(SUM(S80:S82),5)</f>
        <v>0</v>
      </c>
      <c r="T83" s="6"/>
      <c r="U83" s="7">
        <f>ROUND(SUM(U80:U82),5)</f>
        <v>0</v>
      </c>
      <c r="V83" s="6"/>
      <c r="W83" s="7">
        <f>ROUND(SUM(W80:W82),5)</f>
        <v>0</v>
      </c>
      <c r="X83" s="6"/>
      <c r="Y83" s="7">
        <f>ROUND(SUM(Y80:Y82),5)</f>
        <v>9071</v>
      </c>
      <c r="Z83" s="6"/>
      <c r="AA83" s="7">
        <f>ROUND(SUM(AA80:AA82),5)</f>
        <v>0</v>
      </c>
      <c r="AB83" s="6"/>
      <c r="AC83" s="7">
        <f>ROUND(SUM(AC80:AC82),5)</f>
        <v>0</v>
      </c>
      <c r="AD83" s="6"/>
      <c r="AE83" s="7">
        <f>ROUND(SUM(AE80:AE82),5)</f>
        <v>0</v>
      </c>
      <c r="AF83" s="6"/>
      <c r="AG83" s="7">
        <f>ROUND(SUM(AG80:AG82),5)</f>
        <v>0</v>
      </c>
      <c r="AH83" s="6"/>
      <c r="AI83" s="7">
        <f>ROUND(SUM(AI80:AI82),5)</f>
        <v>0</v>
      </c>
      <c r="AJ83" s="6"/>
      <c r="AK83" s="7">
        <f>ROUND(SUM(AK80:AK82),5)</f>
        <v>0</v>
      </c>
      <c r="AL83" s="6"/>
      <c r="AM83" s="7">
        <f>ROUND(SUM(AM80:AM82),5)</f>
        <v>0</v>
      </c>
      <c r="AN83" s="6"/>
      <c r="AO83" s="7">
        <f>ROUND(SUM(AO80:AO82),5)</f>
        <v>0</v>
      </c>
      <c r="AP83" s="6"/>
      <c r="AQ83" s="7">
        <f>ROUND(SUM(AQ80:AQ82),5)</f>
        <v>0</v>
      </c>
      <c r="AR83" s="6"/>
      <c r="AS83" s="7">
        <f>ROUND(SUM(AS80:AS82),5)</f>
        <v>0</v>
      </c>
      <c r="AT83" s="6"/>
      <c r="AU83" s="7">
        <f>ROUND(SUM(AU80:AU82),5)</f>
        <v>0</v>
      </c>
      <c r="AV83" s="6"/>
      <c r="AW83" s="7">
        <f>ROUND(SUM(G83:AU83),5)</f>
        <v>9071</v>
      </c>
    </row>
    <row r="84" spans="1:49">
      <c r="A84" s="4"/>
      <c r="B84" s="4"/>
      <c r="C84" s="4"/>
      <c r="D84" s="4"/>
      <c r="E84" s="4" t="s">
        <v>196</v>
      </c>
      <c r="F84" s="4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  <c r="R84" s="6"/>
      <c r="S84" s="7"/>
      <c r="T84" s="6"/>
      <c r="U84" s="7"/>
      <c r="V84" s="6"/>
      <c r="W84" s="7"/>
      <c r="X84" s="6"/>
      <c r="Y84" s="7"/>
      <c r="Z84" s="6"/>
      <c r="AA84" s="7"/>
      <c r="AB84" s="6"/>
      <c r="AC84" s="7"/>
      <c r="AD84" s="6"/>
      <c r="AE84" s="7"/>
      <c r="AF84" s="6"/>
      <c r="AG84" s="7"/>
      <c r="AH84" s="6"/>
      <c r="AI84" s="7"/>
      <c r="AJ84" s="6"/>
      <c r="AK84" s="7"/>
      <c r="AL84" s="6"/>
      <c r="AM84" s="7"/>
      <c r="AN84" s="6"/>
      <c r="AO84" s="7"/>
      <c r="AP84" s="6"/>
      <c r="AQ84" s="7"/>
      <c r="AR84" s="6"/>
      <c r="AS84" s="7"/>
      <c r="AT84" s="6"/>
      <c r="AU84" s="7"/>
      <c r="AV84" s="6"/>
      <c r="AW84" s="7"/>
    </row>
    <row r="85" spans="1:49">
      <c r="A85" s="4"/>
      <c r="B85" s="4"/>
      <c r="C85" s="4"/>
      <c r="D85" s="4"/>
      <c r="E85" s="4"/>
      <c r="F85" s="4" t="s">
        <v>198</v>
      </c>
      <c r="G85" s="7">
        <v>2678.83</v>
      </c>
      <c r="H85" s="6"/>
      <c r="I85" s="7">
        <v>120</v>
      </c>
      <c r="J85" s="6"/>
      <c r="K85" s="7">
        <v>0</v>
      </c>
      <c r="L85" s="6"/>
      <c r="M85" s="7">
        <v>0</v>
      </c>
      <c r="N85" s="6"/>
      <c r="O85" s="7">
        <v>0</v>
      </c>
      <c r="P85" s="6"/>
      <c r="Q85" s="7">
        <v>0</v>
      </c>
      <c r="R85" s="6"/>
      <c r="S85" s="7">
        <v>0</v>
      </c>
      <c r="T85" s="6"/>
      <c r="U85" s="7">
        <v>0</v>
      </c>
      <c r="V85" s="6"/>
      <c r="W85" s="7">
        <v>0</v>
      </c>
      <c r="X85" s="6"/>
      <c r="Y85" s="7">
        <v>0</v>
      </c>
      <c r="Z85" s="6"/>
      <c r="AA85" s="7">
        <v>0</v>
      </c>
      <c r="AB85" s="6"/>
      <c r="AC85" s="7">
        <v>0</v>
      </c>
      <c r="AD85" s="6"/>
      <c r="AE85" s="7">
        <v>0</v>
      </c>
      <c r="AF85" s="6"/>
      <c r="AG85" s="7">
        <v>0</v>
      </c>
      <c r="AH85" s="6"/>
      <c r="AI85" s="7">
        <v>0</v>
      </c>
      <c r="AJ85" s="6"/>
      <c r="AK85" s="7">
        <v>0</v>
      </c>
      <c r="AL85" s="6"/>
      <c r="AM85" s="7">
        <v>11761.78</v>
      </c>
      <c r="AN85" s="6"/>
      <c r="AO85" s="7">
        <v>0</v>
      </c>
      <c r="AP85" s="6"/>
      <c r="AQ85" s="7">
        <v>0</v>
      </c>
      <c r="AR85" s="6"/>
      <c r="AS85" s="7">
        <v>0</v>
      </c>
      <c r="AT85" s="6"/>
      <c r="AU85" s="7">
        <v>0</v>
      </c>
      <c r="AV85" s="6"/>
      <c r="AW85" s="7">
        <f>ROUND(SUM(G85:AU85),5)</f>
        <v>14560.61</v>
      </c>
    </row>
    <row r="86" spans="1:49">
      <c r="A86" s="4"/>
      <c r="B86" s="4"/>
      <c r="C86" s="4"/>
      <c r="D86" s="4"/>
      <c r="E86" s="4"/>
      <c r="F86" s="4" t="s">
        <v>199</v>
      </c>
      <c r="G86" s="7">
        <v>1115.83</v>
      </c>
      <c r="H86" s="6"/>
      <c r="I86" s="7">
        <v>9.18</v>
      </c>
      <c r="J86" s="6"/>
      <c r="K86" s="7">
        <v>0</v>
      </c>
      <c r="L86" s="6"/>
      <c r="M86" s="7">
        <v>0</v>
      </c>
      <c r="N86" s="6"/>
      <c r="O86" s="7">
        <v>0</v>
      </c>
      <c r="P86" s="6"/>
      <c r="Q86" s="7">
        <v>0</v>
      </c>
      <c r="R86" s="6"/>
      <c r="S86" s="7">
        <v>0</v>
      </c>
      <c r="T86" s="6"/>
      <c r="U86" s="7">
        <v>0</v>
      </c>
      <c r="V86" s="6"/>
      <c r="W86" s="7">
        <v>0</v>
      </c>
      <c r="X86" s="6"/>
      <c r="Y86" s="7">
        <v>0</v>
      </c>
      <c r="Z86" s="6"/>
      <c r="AA86" s="7">
        <v>0</v>
      </c>
      <c r="AB86" s="6"/>
      <c r="AC86" s="7">
        <v>0</v>
      </c>
      <c r="AD86" s="6"/>
      <c r="AE86" s="7">
        <v>0</v>
      </c>
      <c r="AF86" s="6"/>
      <c r="AG86" s="7">
        <v>0</v>
      </c>
      <c r="AH86" s="6"/>
      <c r="AI86" s="7">
        <v>0</v>
      </c>
      <c r="AJ86" s="6"/>
      <c r="AK86" s="7">
        <v>0</v>
      </c>
      <c r="AL86" s="6"/>
      <c r="AM86" s="7">
        <v>0</v>
      </c>
      <c r="AN86" s="6"/>
      <c r="AO86" s="7">
        <v>0</v>
      </c>
      <c r="AP86" s="6"/>
      <c r="AQ86" s="7">
        <v>0</v>
      </c>
      <c r="AR86" s="6"/>
      <c r="AS86" s="7">
        <v>0</v>
      </c>
      <c r="AT86" s="6"/>
      <c r="AU86" s="7">
        <v>0</v>
      </c>
      <c r="AV86" s="6"/>
      <c r="AW86" s="7">
        <f>ROUND(SUM(G86:AU86),5)</f>
        <v>1125.01</v>
      </c>
    </row>
    <row r="87" spans="1:49">
      <c r="A87" s="4"/>
      <c r="B87" s="4"/>
      <c r="C87" s="4"/>
      <c r="D87" s="4"/>
      <c r="E87" s="4"/>
      <c r="F87" s="4" t="s">
        <v>200</v>
      </c>
      <c r="G87" s="7">
        <v>1184.31</v>
      </c>
      <c r="H87" s="6"/>
      <c r="I87" s="7">
        <v>0</v>
      </c>
      <c r="J87" s="6"/>
      <c r="K87" s="7">
        <v>0</v>
      </c>
      <c r="L87" s="6"/>
      <c r="M87" s="7">
        <v>0</v>
      </c>
      <c r="N87" s="6"/>
      <c r="O87" s="7">
        <v>0</v>
      </c>
      <c r="P87" s="6"/>
      <c r="Q87" s="7">
        <v>0</v>
      </c>
      <c r="R87" s="6"/>
      <c r="S87" s="7">
        <v>0</v>
      </c>
      <c r="T87" s="6"/>
      <c r="U87" s="7">
        <v>0</v>
      </c>
      <c r="V87" s="6"/>
      <c r="W87" s="7">
        <v>0</v>
      </c>
      <c r="X87" s="6"/>
      <c r="Y87" s="7">
        <v>0</v>
      </c>
      <c r="Z87" s="6"/>
      <c r="AA87" s="7">
        <v>0</v>
      </c>
      <c r="AB87" s="6"/>
      <c r="AC87" s="7">
        <v>0</v>
      </c>
      <c r="AD87" s="6"/>
      <c r="AE87" s="7">
        <v>0</v>
      </c>
      <c r="AF87" s="6"/>
      <c r="AG87" s="7">
        <v>0</v>
      </c>
      <c r="AH87" s="6"/>
      <c r="AI87" s="7">
        <v>0</v>
      </c>
      <c r="AJ87" s="6"/>
      <c r="AK87" s="7">
        <v>0</v>
      </c>
      <c r="AL87" s="6"/>
      <c r="AM87" s="7">
        <v>0</v>
      </c>
      <c r="AN87" s="6"/>
      <c r="AO87" s="7">
        <v>0</v>
      </c>
      <c r="AP87" s="6"/>
      <c r="AQ87" s="7">
        <v>0</v>
      </c>
      <c r="AR87" s="6"/>
      <c r="AS87" s="7">
        <v>0</v>
      </c>
      <c r="AT87" s="6"/>
      <c r="AU87" s="7">
        <v>0</v>
      </c>
      <c r="AV87" s="6"/>
      <c r="AW87" s="7">
        <f>ROUND(SUM(G87:AU87),5)</f>
        <v>1184.31</v>
      </c>
    </row>
    <row r="88" spans="1:49">
      <c r="A88" s="4"/>
      <c r="B88" s="4"/>
      <c r="C88" s="4"/>
      <c r="D88" s="4"/>
      <c r="E88" s="4"/>
      <c r="F88" s="4" t="s">
        <v>201</v>
      </c>
      <c r="G88" s="7">
        <v>-262.11</v>
      </c>
      <c r="H88" s="6"/>
      <c r="I88" s="7">
        <v>0</v>
      </c>
      <c r="J88" s="6"/>
      <c r="K88" s="7">
        <v>0</v>
      </c>
      <c r="L88" s="6"/>
      <c r="M88" s="7">
        <v>0</v>
      </c>
      <c r="N88" s="6"/>
      <c r="O88" s="7">
        <v>0</v>
      </c>
      <c r="P88" s="6"/>
      <c r="Q88" s="7">
        <v>0</v>
      </c>
      <c r="R88" s="6"/>
      <c r="S88" s="7">
        <v>0</v>
      </c>
      <c r="T88" s="6"/>
      <c r="U88" s="7">
        <v>0</v>
      </c>
      <c r="V88" s="6"/>
      <c r="W88" s="7">
        <v>0</v>
      </c>
      <c r="X88" s="6"/>
      <c r="Y88" s="7">
        <v>0</v>
      </c>
      <c r="Z88" s="6"/>
      <c r="AA88" s="7">
        <v>0</v>
      </c>
      <c r="AB88" s="6"/>
      <c r="AC88" s="7">
        <v>0</v>
      </c>
      <c r="AD88" s="6"/>
      <c r="AE88" s="7">
        <v>0</v>
      </c>
      <c r="AF88" s="6"/>
      <c r="AG88" s="7">
        <v>0</v>
      </c>
      <c r="AH88" s="6"/>
      <c r="AI88" s="7">
        <v>0</v>
      </c>
      <c r="AJ88" s="6"/>
      <c r="AK88" s="7">
        <v>0</v>
      </c>
      <c r="AL88" s="6"/>
      <c r="AM88" s="7">
        <v>0</v>
      </c>
      <c r="AN88" s="6"/>
      <c r="AO88" s="7">
        <v>0</v>
      </c>
      <c r="AP88" s="6"/>
      <c r="AQ88" s="7">
        <v>0</v>
      </c>
      <c r="AR88" s="6"/>
      <c r="AS88" s="7">
        <v>0</v>
      </c>
      <c r="AT88" s="6"/>
      <c r="AU88" s="7">
        <v>0</v>
      </c>
      <c r="AV88" s="6"/>
      <c r="AW88" s="7">
        <f>ROUND(SUM(G88:AU88),5)</f>
        <v>-262.11</v>
      </c>
    </row>
    <row r="89" spans="1:49">
      <c r="A89" s="4"/>
      <c r="B89" s="4"/>
      <c r="C89" s="4"/>
      <c r="D89" s="4"/>
      <c r="E89" s="4"/>
      <c r="F89" s="4" t="s">
        <v>202</v>
      </c>
      <c r="G89" s="7">
        <v>991.29</v>
      </c>
      <c r="H89" s="6"/>
      <c r="I89" s="7">
        <v>0</v>
      </c>
      <c r="J89" s="6"/>
      <c r="K89" s="7">
        <v>0</v>
      </c>
      <c r="L89" s="6"/>
      <c r="M89" s="7">
        <v>0</v>
      </c>
      <c r="N89" s="6"/>
      <c r="O89" s="7">
        <v>0</v>
      </c>
      <c r="P89" s="6"/>
      <c r="Q89" s="7">
        <v>0</v>
      </c>
      <c r="R89" s="6"/>
      <c r="S89" s="7">
        <v>0</v>
      </c>
      <c r="T89" s="6"/>
      <c r="U89" s="7">
        <v>0</v>
      </c>
      <c r="V89" s="6"/>
      <c r="W89" s="7">
        <v>0</v>
      </c>
      <c r="X89" s="6"/>
      <c r="Y89" s="7">
        <v>0</v>
      </c>
      <c r="Z89" s="6"/>
      <c r="AA89" s="7">
        <v>0</v>
      </c>
      <c r="AB89" s="6"/>
      <c r="AC89" s="7">
        <v>0</v>
      </c>
      <c r="AD89" s="6"/>
      <c r="AE89" s="7">
        <v>0</v>
      </c>
      <c r="AF89" s="6"/>
      <c r="AG89" s="7">
        <v>0</v>
      </c>
      <c r="AH89" s="6"/>
      <c r="AI89" s="7">
        <v>0</v>
      </c>
      <c r="AJ89" s="6"/>
      <c r="AK89" s="7">
        <v>0</v>
      </c>
      <c r="AL89" s="6"/>
      <c r="AM89" s="7">
        <v>0</v>
      </c>
      <c r="AN89" s="6"/>
      <c r="AO89" s="7">
        <v>0</v>
      </c>
      <c r="AP89" s="6"/>
      <c r="AQ89" s="7">
        <v>0</v>
      </c>
      <c r="AR89" s="6"/>
      <c r="AS89" s="7">
        <v>0</v>
      </c>
      <c r="AT89" s="6"/>
      <c r="AU89" s="7">
        <v>0</v>
      </c>
      <c r="AV89" s="6"/>
      <c r="AW89" s="7">
        <f>ROUND(SUM(G89:AU89),5)</f>
        <v>991.29</v>
      </c>
    </row>
    <row r="90" spans="1:49">
      <c r="A90" s="4"/>
      <c r="B90" s="4"/>
      <c r="C90" s="4"/>
      <c r="D90" s="4"/>
      <c r="E90" s="4"/>
      <c r="F90" s="4" t="s">
        <v>203</v>
      </c>
      <c r="G90" s="7">
        <v>7657.22</v>
      </c>
      <c r="H90" s="6"/>
      <c r="I90" s="7">
        <v>0</v>
      </c>
      <c r="J90" s="6"/>
      <c r="K90" s="7">
        <v>0</v>
      </c>
      <c r="L90" s="6"/>
      <c r="M90" s="7">
        <v>0</v>
      </c>
      <c r="N90" s="6"/>
      <c r="O90" s="7">
        <v>0</v>
      </c>
      <c r="P90" s="6"/>
      <c r="Q90" s="7">
        <v>0</v>
      </c>
      <c r="R90" s="6"/>
      <c r="S90" s="7">
        <v>0</v>
      </c>
      <c r="T90" s="6"/>
      <c r="U90" s="7">
        <v>0</v>
      </c>
      <c r="V90" s="6"/>
      <c r="W90" s="7">
        <v>0</v>
      </c>
      <c r="X90" s="6"/>
      <c r="Y90" s="7">
        <v>0</v>
      </c>
      <c r="Z90" s="6"/>
      <c r="AA90" s="7">
        <v>0</v>
      </c>
      <c r="AB90" s="6"/>
      <c r="AC90" s="7">
        <v>0</v>
      </c>
      <c r="AD90" s="6"/>
      <c r="AE90" s="7">
        <v>0</v>
      </c>
      <c r="AF90" s="6"/>
      <c r="AG90" s="7">
        <v>0</v>
      </c>
      <c r="AH90" s="6"/>
      <c r="AI90" s="7">
        <v>0</v>
      </c>
      <c r="AJ90" s="6"/>
      <c r="AK90" s="7">
        <v>0</v>
      </c>
      <c r="AL90" s="6"/>
      <c r="AM90" s="7">
        <v>0</v>
      </c>
      <c r="AN90" s="6"/>
      <c r="AO90" s="7">
        <v>0</v>
      </c>
      <c r="AP90" s="6"/>
      <c r="AQ90" s="7">
        <v>0</v>
      </c>
      <c r="AR90" s="6"/>
      <c r="AS90" s="7">
        <v>0</v>
      </c>
      <c r="AT90" s="6"/>
      <c r="AU90" s="7">
        <v>5592.83</v>
      </c>
      <c r="AV90" s="6"/>
      <c r="AW90" s="7">
        <f>ROUND(SUM(G90:AU90),5)</f>
        <v>13250.05</v>
      </c>
    </row>
    <row r="91" spans="1:49">
      <c r="A91" s="4"/>
      <c r="B91" s="4"/>
      <c r="C91" s="4"/>
      <c r="D91" s="4"/>
      <c r="E91" s="4"/>
      <c r="F91" s="4" t="s">
        <v>204</v>
      </c>
      <c r="G91" s="7">
        <v>792.66</v>
      </c>
      <c r="H91" s="6"/>
      <c r="I91" s="7">
        <v>0</v>
      </c>
      <c r="J91" s="6"/>
      <c r="K91" s="7">
        <v>0</v>
      </c>
      <c r="L91" s="6"/>
      <c r="M91" s="7">
        <v>0</v>
      </c>
      <c r="N91" s="6"/>
      <c r="O91" s="7">
        <v>0</v>
      </c>
      <c r="P91" s="6"/>
      <c r="Q91" s="7">
        <v>0</v>
      </c>
      <c r="R91" s="6"/>
      <c r="S91" s="7">
        <v>0</v>
      </c>
      <c r="T91" s="6"/>
      <c r="U91" s="7">
        <v>0</v>
      </c>
      <c r="V91" s="6"/>
      <c r="W91" s="7">
        <v>0</v>
      </c>
      <c r="X91" s="6"/>
      <c r="Y91" s="7">
        <v>0</v>
      </c>
      <c r="Z91" s="6"/>
      <c r="AA91" s="7">
        <v>0</v>
      </c>
      <c r="AB91" s="6"/>
      <c r="AC91" s="7">
        <v>0</v>
      </c>
      <c r="AD91" s="6"/>
      <c r="AE91" s="7">
        <v>0</v>
      </c>
      <c r="AF91" s="6"/>
      <c r="AG91" s="7">
        <v>0</v>
      </c>
      <c r="AH91" s="6"/>
      <c r="AI91" s="7">
        <v>0</v>
      </c>
      <c r="AJ91" s="6"/>
      <c r="AK91" s="7">
        <v>0</v>
      </c>
      <c r="AL91" s="6"/>
      <c r="AM91" s="7">
        <v>0</v>
      </c>
      <c r="AN91" s="6"/>
      <c r="AO91" s="7">
        <v>0</v>
      </c>
      <c r="AP91" s="6"/>
      <c r="AQ91" s="7">
        <v>0</v>
      </c>
      <c r="AR91" s="6"/>
      <c r="AS91" s="7">
        <v>0</v>
      </c>
      <c r="AT91" s="6"/>
      <c r="AU91" s="7">
        <v>0</v>
      </c>
      <c r="AV91" s="6"/>
      <c r="AW91" s="7">
        <f>ROUND(SUM(G91:AU91),5)</f>
        <v>792.66</v>
      </c>
    </row>
    <row r="92" spans="1:49">
      <c r="A92" s="4"/>
      <c r="B92" s="4"/>
      <c r="C92" s="4"/>
      <c r="D92" s="4"/>
      <c r="E92" s="4"/>
      <c r="F92" s="4" t="s">
        <v>207</v>
      </c>
      <c r="G92" s="7">
        <v>992.27</v>
      </c>
      <c r="H92" s="6"/>
      <c r="I92" s="7">
        <v>0</v>
      </c>
      <c r="J92" s="6"/>
      <c r="K92" s="7">
        <v>0</v>
      </c>
      <c r="L92" s="6"/>
      <c r="M92" s="7">
        <v>0</v>
      </c>
      <c r="N92" s="6"/>
      <c r="O92" s="7">
        <v>0</v>
      </c>
      <c r="P92" s="6"/>
      <c r="Q92" s="7">
        <v>0</v>
      </c>
      <c r="R92" s="6"/>
      <c r="S92" s="7">
        <v>0</v>
      </c>
      <c r="T92" s="6"/>
      <c r="U92" s="7">
        <v>0</v>
      </c>
      <c r="V92" s="6"/>
      <c r="W92" s="7">
        <v>0</v>
      </c>
      <c r="X92" s="6"/>
      <c r="Y92" s="7">
        <v>0</v>
      </c>
      <c r="Z92" s="6"/>
      <c r="AA92" s="7">
        <v>0</v>
      </c>
      <c r="AB92" s="6"/>
      <c r="AC92" s="7">
        <v>0</v>
      </c>
      <c r="AD92" s="6"/>
      <c r="AE92" s="7">
        <v>0</v>
      </c>
      <c r="AF92" s="6"/>
      <c r="AG92" s="7">
        <v>0</v>
      </c>
      <c r="AH92" s="6"/>
      <c r="AI92" s="7">
        <v>0</v>
      </c>
      <c r="AJ92" s="6"/>
      <c r="AK92" s="7">
        <v>0</v>
      </c>
      <c r="AL92" s="6"/>
      <c r="AM92" s="7">
        <v>0</v>
      </c>
      <c r="AN92" s="6"/>
      <c r="AO92" s="7">
        <v>0</v>
      </c>
      <c r="AP92" s="6"/>
      <c r="AQ92" s="7">
        <v>0</v>
      </c>
      <c r="AR92" s="6"/>
      <c r="AS92" s="7">
        <v>0</v>
      </c>
      <c r="AT92" s="6"/>
      <c r="AU92" s="7">
        <v>0</v>
      </c>
      <c r="AV92" s="6"/>
      <c r="AW92" s="7">
        <f>ROUND(SUM(G92:AU92),5)</f>
        <v>992.27</v>
      </c>
    </row>
    <row r="93" spans="1:49">
      <c r="A93" s="4"/>
      <c r="B93" s="4"/>
      <c r="C93" s="4"/>
      <c r="D93" s="4"/>
      <c r="E93" s="4"/>
      <c r="F93" s="4" t="s">
        <v>208</v>
      </c>
      <c r="G93" s="7">
        <v>1758.41</v>
      </c>
      <c r="H93" s="6"/>
      <c r="I93" s="7">
        <v>0</v>
      </c>
      <c r="J93" s="6"/>
      <c r="K93" s="7">
        <v>0</v>
      </c>
      <c r="L93" s="6"/>
      <c r="M93" s="7">
        <v>0</v>
      </c>
      <c r="N93" s="6"/>
      <c r="O93" s="7">
        <v>639.97</v>
      </c>
      <c r="P93" s="6"/>
      <c r="Q93" s="7">
        <v>0</v>
      </c>
      <c r="R93" s="6"/>
      <c r="S93" s="7">
        <v>0</v>
      </c>
      <c r="T93" s="6"/>
      <c r="U93" s="7">
        <v>0</v>
      </c>
      <c r="V93" s="6"/>
      <c r="W93" s="7">
        <v>0</v>
      </c>
      <c r="X93" s="6"/>
      <c r="Y93" s="7">
        <v>0</v>
      </c>
      <c r="Z93" s="6"/>
      <c r="AA93" s="7">
        <v>0</v>
      </c>
      <c r="AB93" s="6"/>
      <c r="AC93" s="7">
        <v>0</v>
      </c>
      <c r="AD93" s="6"/>
      <c r="AE93" s="7">
        <v>0</v>
      </c>
      <c r="AF93" s="6"/>
      <c r="AG93" s="7">
        <v>0</v>
      </c>
      <c r="AH93" s="6"/>
      <c r="AI93" s="7">
        <v>0</v>
      </c>
      <c r="AJ93" s="6"/>
      <c r="AK93" s="7">
        <v>0</v>
      </c>
      <c r="AL93" s="6"/>
      <c r="AM93" s="7">
        <v>0</v>
      </c>
      <c r="AN93" s="6"/>
      <c r="AO93" s="7">
        <v>0</v>
      </c>
      <c r="AP93" s="6"/>
      <c r="AQ93" s="7">
        <v>0</v>
      </c>
      <c r="AR93" s="6"/>
      <c r="AS93" s="7">
        <v>0</v>
      </c>
      <c r="AT93" s="6"/>
      <c r="AU93" s="7">
        <v>0</v>
      </c>
      <c r="AV93" s="6"/>
      <c r="AW93" s="7">
        <f>ROUND(SUM(G93:AU93),5)</f>
        <v>2398.38</v>
      </c>
    </row>
    <row r="94" spans="1:49">
      <c r="A94" s="4"/>
      <c r="B94" s="4"/>
      <c r="C94" s="4"/>
      <c r="D94" s="4"/>
      <c r="E94" s="4"/>
      <c r="F94" s="4" t="s">
        <v>209</v>
      </c>
      <c r="G94" s="7">
        <v>146.99</v>
      </c>
      <c r="H94" s="6"/>
      <c r="I94" s="7">
        <v>0</v>
      </c>
      <c r="J94" s="6"/>
      <c r="K94" s="7">
        <v>0</v>
      </c>
      <c r="L94" s="6"/>
      <c r="M94" s="7">
        <v>0</v>
      </c>
      <c r="N94" s="6"/>
      <c r="O94" s="7">
        <v>0</v>
      </c>
      <c r="P94" s="6"/>
      <c r="Q94" s="7">
        <v>0</v>
      </c>
      <c r="R94" s="6"/>
      <c r="S94" s="7">
        <v>0</v>
      </c>
      <c r="T94" s="6"/>
      <c r="U94" s="7">
        <v>0</v>
      </c>
      <c r="V94" s="6"/>
      <c r="W94" s="7">
        <v>0</v>
      </c>
      <c r="X94" s="6"/>
      <c r="Y94" s="7">
        <v>0</v>
      </c>
      <c r="Z94" s="6"/>
      <c r="AA94" s="7">
        <v>0</v>
      </c>
      <c r="AB94" s="6"/>
      <c r="AC94" s="7">
        <v>0</v>
      </c>
      <c r="AD94" s="6"/>
      <c r="AE94" s="7">
        <v>0</v>
      </c>
      <c r="AF94" s="6"/>
      <c r="AG94" s="7">
        <v>0</v>
      </c>
      <c r="AH94" s="6"/>
      <c r="AI94" s="7">
        <v>0</v>
      </c>
      <c r="AJ94" s="6"/>
      <c r="AK94" s="7">
        <v>0</v>
      </c>
      <c r="AL94" s="6"/>
      <c r="AM94" s="7">
        <v>0</v>
      </c>
      <c r="AN94" s="6"/>
      <c r="AO94" s="7">
        <v>0</v>
      </c>
      <c r="AP94" s="6"/>
      <c r="AQ94" s="7">
        <v>0</v>
      </c>
      <c r="AR94" s="6"/>
      <c r="AS94" s="7">
        <v>0</v>
      </c>
      <c r="AT94" s="6"/>
      <c r="AU94" s="7">
        <v>0</v>
      </c>
      <c r="AV94" s="6"/>
      <c r="AW94" s="7">
        <f>ROUND(SUM(G94:AU94),5)</f>
        <v>146.99</v>
      </c>
    </row>
    <row r="95" spans="1:49" ht="15.75" thickBot="1">
      <c r="A95" s="4"/>
      <c r="B95" s="4"/>
      <c r="C95" s="4"/>
      <c r="D95" s="4"/>
      <c r="E95" s="4"/>
      <c r="F95" s="4" t="s">
        <v>210</v>
      </c>
      <c r="G95" s="9">
        <v>3024.74</v>
      </c>
      <c r="H95" s="6"/>
      <c r="I95" s="9">
        <v>0</v>
      </c>
      <c r="J95" s="6"/>
      <c r="K95" s="9">
        <v>0</v>
      </c>
      <c r="L95" s="6"/>
      <c r="M95" s="9">
        <v>0</v>
      </c>
      <c r="N95" s="6"/>
      <c r="O95" s="9">
        <v>0</v>
      </c>
      <c r="P95" s="6"/>
      <c r="Q95" s="9">
        <v>0</v>
      </c>
      <c r="R95" s="6"/>
      <c r="S95" s="9">
        <v>0</v>
      </c>
      <c r="T95" s="6"/>
      <c r="U95" s="9">
        <v>0</v>
      </c>
      <c r="V95" s="6"/>
      <c r="W95" s="9">
        <v>0</v>
      </c>
      <c r="X95" s="6"/>
      <c r="Y95" s="9">
        <v>0</v>
      </c>
      <c r="Z95" s="6"/>
      <c r="AA95" s="9">
        <v>0</v>
      </c>
      <c r="AB95" s="6"/>
      <c r="AC95" s="9">
        <v>0</v>
      </c>
      <c r="AD95" s="6"/>
      <c r="AE95" s="9">
        <v>0</v>
      </c>
      <c r="AF95" s="6"/>
      <c r="AG95" s="9">
        <v>0</v>
      </c>
      <c r="AH95" s="6"/>
      <c r="AI95" s="9">
        <v>0</v>
      </c>
      <c r="AJ95" s="6"/>
      <c r="AK95" s="9">
        <v>0</v>
      </c>
      <c r="AL95" s="6"/>
      <c r="AM95" s="9">
        <v>0</v>
      </c>
      <c r="AN95" s="6"/>
      <c r="AO95" s="9">
        <v>0</v>
      </c>
      <c r="AP95" s="6"/>
      <c r="AQ95" s="9">
        <v>0</v>
      </c>
      <c r="AR95" s="6"/>
      <c r="AS95" s="9">
        <v>0</v>
      </c>
      <c r="AT95" s="6"/>
      <c r="AU95" s="9">
        <v>0</v>
      </c>
      <c r="AV95" s="6"/>
      <c r="AW95" s="9">
        <f>ROUND(SUM(G95:AU95),5)</f>
        <v>3024.74</v>
      </c>
    </row>
    <row r="96" spans="1:49">
      <c r="A96" s="4"/>
      <c r="B96" s="4"/>
      <c r="C96" s="4"/>
      <c r="D96" s="4"/>
      <c r="E96" s="4" t="s">
        <v>211</v>
      </c>
      <c r="F96" s="4"/>
      <c r="G96" s="7">
        <f>ROUND(SUM(G84:G95),5)</f>
        <v>20080.439999999999</v>
      </c>
      <c r="H96" s="6"/>
      <c r="I96" s="7">
        <f>ROUND(SUM(I84:I95),5)</f>
        <v>129.18</v>
      </c>
      <c r="J96" s="6"/>
      <c r="K96" s="7">
        <f>ROUND(SUM(K84:K95),5)</f>
        <v>0</v>
      </c>
      <c r="L96" s="6"/>
      <c r="M96" s="7">
        <f>ROUND(SUM(M84:M95),5)</f>
        <v>0</v>
      </c>
      <c r="N96" s="6"/>
      <c r="O96" s="7">
        <f>ROUND(SUM(O84:O95),5)</f>
        <v>639.97</v>
      </c>
      <c r="P96" s="6"/>
      <c r="Q96" s="7">
        <f>ROUND(SUM(Q84:Q95),5)</f>
        <v>0</v>
      </c>
      <c r="R96" s="6"/>
      <c r="S96" s="7">
        <f>ROUND(SUM(S84:S95),5)</f>
        <v>0</v>
      </c>
      <c r="T96" s="6"/>
      <c r="U96" s="7">
        <f>ROUND(SUM(U84:U95),5)</f>
        <v>0</v>
      </c>
      <c r="V96" s="6"/>
      <c r="W96" s="7">
        <f>ROUND(SUM(W84:W95),5)</f>
        <v>0</v>
      </c>
      <c r="X96" s="6"/>
      <c r="Y96" s="7">
        <f>ROUND(SUM(Y84:Y95),5)</f>
        <v>0</v>
      </c>
      <c r="Z96" s="6"/>
      <c r="AA96" s="7">
        <f>ROUND(SUM(AA84:AA95),5)</f>
        <v>0</v>
      </c>
      <c r="AB96" s="6"/>
      <c r="AC96" s="7">
        <f>ROUND(SUM(AC84:AC95),5)</f>
        <v>0</v>
      </c>
      <c r="AD96" s="6"/>
      <c r="AE96" s="7">
        <f>ROUND(SUM(AE84:AE95),5)</f>
        <v>0</v>
      </c>
      <c r="AF96" s="6"/>
      <c r="AG96" s="7">
        <f>ROUND(SUM(AG84:AG95),5)</f>
        <v>0</v>
      </c>
      <c r="AH96" s="6"/>
      <c r="AI96" s="7">
        <f>ROUND(SUM(AI84:AI95),5)</f>
        <v>0</v>
      </c>
      <c r="AJ96" s="6"/>
      <c r="AK96" s="7">
        <f>ROUND(SUM(AK84:AK95),5)</f>
        <v>0</v>
      </c>
      <c r="AL96" s="6"/>
      <c r="AM96" s="7">
        <f>ROUND(SUM(AM84:AM95),5)</f>
        <v>11761.78</v>
      </c>
      <c r="AN96" s="6"/>
      <c r="AO96" s="7">
        <f>ROUND(SUM(AO84:AO95),5)</f>
        <v>0</v>
      </c>
      <c r="AP96" s="6"/>
      <c r="AQ96" s="7">
        <f>ROUND(SUM(AQ84:AQ95),5)</f>
        <v>0</v>
      </c>
      <c r="AR96" s="6"/>
      <c r="AS96" s="7">
        <f>ROUND(SUM(AS84:AS95),5)</f>
        <v>0</v>
      </c>
      <c r="AT96" s="6"/>
      <c r="AU96" s="7">
        <f>ROUND(SUM(AU84:AU95),5)</f>
        <v>5592.83</v>
      </c>
      <c r="AV96" s="6"/>
      <c r="AW96" s="7">
        <f>ROUND(SUM(G96:AU96),5)</f>
        <v>38204.199999999997</v>
      </c>
    </row>
    <row r="97" spans="1:49">
      <c r="A97" s="4"/>
      <c r="B97" s="4"/>
      <c r="C97" s="4"/>
      <c r="D97" s="4"/>
      <c r="E97" s="4" t="s">
        <v>212</v>
      </c>
      <c r="F97" s="4"/>
      <c r="G97" s="7"/>
      <c r="H97" s="6"/>
      <c r="I97" s="7"/>
      <c r="J97" s="6"/>
      <c r="K97" s="7"/>
      <c r="L97" s="6"/>
      <c r="M97" s="7"/>
      <c r="N97" s="6"/>
      <c r="O97" s="7"/>
      <c r="P97" s="6"/>
      <c r="Q97" s="7"/>
      <c r="R97" s="6"/>
      <c r="S97" s="7"/>
      <c r="T97" s="6"/>
      <c r="U97" s="7"/>
      <c r="V97" s="6"/>
      <c r="W97" s="7"/>
      <c r="X97" s="6"/>
      <c r="Y97" s="7"/>
      <c r="Z97" s="6"/>
      <c r="AA97" s="7"/>
      <c r="AB97" s="6"/>
      <c r="AC97" s="7"/>
      <c r="AD97" s="6"/>
      <c r="AE97" s="7"/>
      <c r="AF97" s="6"/>
      <c r="AG97" s="7"/>
      <c r="AH97" s="6"/>
      <c r="AI97" s="7"/>
      <c r="AJ97" s="6"/>
      <c r="AK97" s="7"/>
      <c r="AL97" s="6"/>
      <c r="AM97" s="7"/>
      <c r="AN97" s="6"/>
      <c r="AO97" s="7"/>
      <c r="AP97" s="6"/>
      <c r="AQ97" s="7"/>
      <c r="AR97" s="6"/>
      <c r="AS97" s="7"/>
      <c r="AT97" s="6"/>
      <c r="AU97" s="7"/>
      <c r="AV97" s="6"/>
      <c r="AW97" s="7"/>
    </row>
    <row r="98" spans="1:49">
      <c r="A98" s="4"/>
      <c r="B98" s="4"/>
      <c r="C98" s="4"/>
      <c r="D98" s="4"/>
      <c r="E98" s="4"/>
      <c r="F98" s="4" t="s">
        <v>213</v>
      </c>
      <c r="G98" s="7">
        <v>-72906.89</v>
      </c>
      <c r="H98" s="6"/>
      <c r="I98" s="7">
        <v>3000</v>
      </c>
      <c r="J98" s="6"/>
      <c r="K98" s="7">
        <v>0</v>
      </c>
      <c r="L98" s="6"/>
      <c r="M98" s="7">
        <v>0</v>
      </c>
      <c r="N98" s="6"/>
      <c r="O98" s="7">
        <v>0</v>
      </c>
      <c r="P98" s="6"/>
      <c r="Q98" s="7">
        <v>0</v>
      </c>
      <c r="R98" s="6"/>
      <c r="S98" s="7">
        <v>0</v>
      </c>
      <c r="T98" s="6"/>
      <c r="U98" s="7">
        <v>0</v>
      </c>
      <c r="V98" s="6"/>
      <c r="W98" s="7">
        <v>0</v>
      </c>
      <c r="X98" s="6"/>
      <c r="Y98" s="7">
        <v>0</v>
      </c>
      <c r="Z98" s="6"/>
      <c r="AA98" s="7">
        <v>0</v>
      </c>
      <c r="AB98" s="6"/>
      <c r="AC98" s="7">
        <v>0</v>
      </c>
      <c r="AD98" s="6"/>
      <c r="AE98" s="7">
        <v>0</v>
      </c>
      <c r="AF98" s="6"/>
      <c r="AG98" s="7">
        <v>0</v>
      </c>
      <c r="AH98" s="6"/>
      <c r="AI98" s="7">
        <v>0</v>
      </c>
      <c r="AJ98" s="6"/>
      <c r="AK98" s="7">
        <v>0</v>
      </c>
      <c r="AL98" s="6"/>
      <c r="AM98" s="7">
        <v>0</v>
      </c>
      <c r="AN98" s="6"/>
      <c r="AO98" s="7">
        <v>0</v>
      </c>
      <c r="AP98" s="6"/>
      <c r="AQ98" s="7">
        <v>0</v>
      </c>
      <c r="AR98" s="6"/>
      <c r="AS98" s="7">
        <v>0</v>
      </c>
      <c r="AT98" s="6"/>
      <c r="AU98" s="7">
        <v>121729.27</v>
      </c>
      <c r="AV98" s="6"/>
      <c r="AW98" s="7">
        <f>ROUND(SUM(G98:AU98),5)</f>
        <v>51822.38</v>
      </c>
    </row>
    <row r="99" spans="1:49">
      <c r="A99" s="4"/>
      <c r="B99" s="4"/>
      <c r="C99" s="4"/>
      <c r="D99" s="4"/>
      <c r="E99" s="4"/>
      <c r="F99" s="4" t="s">
        <v>216</v>
      </c>
      <c r="G99" s="7">
        <v>-5793.61</v>
      </c>
      <c r="H99" s="6"/>
      <c r="I99" s="7">
        <v>323.22000000000003</v>
      </c>
      <c r="J99" s="6"/>
      <c r="K99" s="7">
        <v>0</v>
      </c>
      <c r="L99" s="6"/>
      <c r="M99" s="7">
        <v>0</v>
      </c>
      <c r="N99" s="6"/>
      <c r="O99" s="7">
        <v>0</v>
      </c>
      <c r="P99" s="6"/>
      <c r="Q99" s="7">
        <v>0</v>
      </c>
      <c r="R99" s="6"/>
      <c r="S99" s="7">
        <v>0</v>
      </c>
      <c r="T99" s="6"/>
      <c r="U99" s="7">
        <v>0</v>
      </c>
      <c r="V99" s="6"/>
      <c r="W99" s="7">
        <v>0</v>
      </c>
      <c r="X99" s="6"/>
      <c r="Y99" s="7">
        <v>0</v>
      </c>
      <c r="Z99" s="6"/>
      <c r="AA99" s="7">
        <v>0</v>
      </c>
      <c r="AB99" s="6"/>
      <c r="AC99" s="7">
        <v>0</v>
      </c>
      <c r="AD99" s="6"/>
      <c r="AE99" s="7">
        <v>0</v>
      </c>
      <c r="AF99" s="6"/>
      <c r="AG99" s="7">
        <v>0</v>
      </c>
      <c r="AH99" s="6"/>
      <c r="AI99" s="7">
        <v>0</v>
      </c>
      <c r="AJ99" s="6"/>
      <c r="AK99" s="7">
        <v>0</v>
      </c>
      <c r="AL99" s="6"/>
      <c r="AM99" s="7">
        <v>0</v>
      </c>
      <c r="AN99" s="6"/>
      <c r="AO99" s="7">
        <v>0</v>
      </c>
      <c r="AP99" s="6"/>
      <c r="AQ99" s="7">
        <v>0</v>
      </c>
      <c r="AR99" s="6"/>
      <c r="AS99" s="7">
        <v>0</v>
      </c>
      <c r="AT99" s="6"/>
      <c r="AU99" s="7">
        <v>9311.9</v>
      </c>
      <c r="AV99" s="6"/>
      <c r="AW99" s="7">
        <f>ROUND(SUM(G99:AU99),5)</f>
        <v>3841.51</v>
      </c>
    </row>
    <row r="100" spans="1:49">
      <c r="A100" s="4"/>
      <c r="B100" s="4"/>
      <c r="C100" s="4"/>
      <c r="D100" s="4"/>
      <c r="E100" s="4"/>
      <c r="F100" s="4" t="s">
        <v>217</v>
      </c>
      <c r="G100" s="7">
        <v>1581.66</v>
      </c>
      <c r="H100" s="6"/>
      <c r="I100" s="7">
        <v>0</v>
      </c>
      <c r="J100" s="6"/>
      <c r="K100" s="7">
        <v>0</v>
      </c>
      <c r="L100" s="6"/>
      <c r="M100" s="7">
        <v>0</v>
      </c>
      <c r="N100" s="6"/>
      <c r="O100" s="7">
        <v>0</v>
      </c>
      <c r="P100" s="6"/>
      <c r="Q100" s="7">
        <v>0</v>
      </c>
      <c r="R100" s="6"/>
      <c r="S100" s="7">
        <v>0</v>
      </c>
      <c r="T100" s="6"/>
      <c r="U100" s="7">
        <v>0</v>
      </c>
      <c r="V100" s="6"/>
      <c r="W100" s="7">
        <v>0</v>
      </c>
      <c r="X100" s="6"/>
      <c r="Y100" s="7">
        <v>0</v>
      </c>
      <c r="Z100" s="6"/>
      <c r="AA100" s="7">
        <v>0</v>
      </c>
      <c r="AB100" s="6"/>
      <c r="AC100" s="7">
        <v>0</v>
      </c>
      <c r="AD100" s="6"/>
      <c r="AE100" s="7">
        <v>0</v>
      </c>
      <c r="AF100" s="6"/>
      <c r="AG100" s="7">
        <v>0</v>
      </c>
      <c r="AH100" s="6"/>
      <c r="AI100" s="7">
        <v>0</v>
      </c>
      <c r="AJ100" s="6"/>
      <c r="AK100" s="7">
        <v>0</v>
      </c>
      <c r="AL100" s="6"/>
      <c r="AM100" s="7">
        <v>0</v>
      </c>
      <c r="AN100" s="6"/>
      <c r="AO100" s="7">
        <v>0</v>
      </c>
      <c r="AP100" s="6"/>
      <c r="AQ100" s="7">
        <v>0</v>
      </c>
      <c r="AR100" s="6"/>
      <c r="AS100" s="7">
        <v>0</v>
      </c>
      <c r="AT100" s="6"/>
      <c r="AU100" s="7">
        <v>0</v>
      </c>
      <c r="AV100" s="6"/>
      <c r="AW100" s="7">
        <f>ROUND(SUM(G100:AU100),5)</f>
        <v>1581.66</v>
      </c>
    </row>
    <row r="101" spans="1:49" ht="15.75" thickBot="1">
      <c r="A101" s="4"/>
      <c r="B101" s="4"/>
      <c r="C101" s="4"/>
      <c r="D101" s="4"/>
      <c r="E101" s="4"/>
      <c r="F101" s="4" t="s">
        <v>218</v>
      </c>
      <c r="G101" s="9">
        <v>2518.98</v>
      </c>
      <c r="H101" s="6"/>
      <c r="I101" s="9">
        <v>0</v>
      </c>
      <c r="J101" s="6"/>
      <c r="K101" s="9">
        <v>0</v>
      </c>
      <c r="L101" s="6"/>
      <c r="M101" s="9">
        <v>0</v>
      </c>
      <c r="N101" s="6"/>
      <c r="O101" s="9">
        <v>0</v>
      </c>
      <c r="P101" s="6"/>
      <c r="Q101" s="9">
        <v>0</v>
      </c>
      <c r="R101" s="6"/>
      <c r="S101" s="9">
        <v>0</v>
      </c>
      <c r="T101" s="6"/>
      <c r="U101" s="9">
        <v>0</v>
      </c>
      <c r="V101" s="6"/>
      <c r="W101" s="9">
        <v>0</v>
      </c>
      <c r="X101" s="6"/>
      <c r="Y101" s="9">
        <v>0</v>
      </c>
      <c r="Z101" s="6"/>
      <c r="AA101" s="9">
        <v>0</v>
      </c>
      <c r="AB101" s="6"/>
      <c r="AC101" s="9">
        <v>0</v>
      </c>
      <c r="AD101" s="6"/>
      <c r="AE101" s="9">
        <v>0</v>
      </c>
      <c r="AF101" s="6"/>
      <c r="AG101" s="9">
        <v>0</v>
      </c>
      <c r="AH101" s="6"/>
      <c r="AI101" s="9">
        <v>0</v>
      </c>
      <c r="AJ101" s="6"/>
      <c r="AK101" s="9">
        <v>0</v>
      </c>
      <c r="AL101" s="6"/>
      <c r="AM101" s="9">
        <v>0</v>
      </c>
      <c r="AN101" s="6"/>
      <c r="AO101" s="9">
        <v>0</v>
      </c>
      <c r="AP101" s="6"/>
      <c r="AQ101" s="9">
        <v>0</v>
      </c>
      <c r="AR101" s="6"/>
      <c r="AS101" s="9">
        <v>0</v>
      </c>
      <c r="AT101" s="6"/>
      <c r="AU101" s="9">
        <v>0</v>
      </c>
      <c r="AV101" s="6"/>
      <c r="AW101" s="9">
        <f>ROUND(SUM(G101:AU101),5)</f>
        <v>2518.98</v>
      </c>
    </row>
    <row r="102" spans="1:49">
      <c r="A102" s="4"/>
      <c r="B102" s="4"/>
      <c r="C102" s="4"/>
      <c r="D102" s="4"/>
      <c r="E102" s="4" t="s">
        <v>219</v>
      </c>
      <c r="F102" s="4"/>
      <c r="G102" s="7">
        <f>ROUND(SUM(G97:G101),5)</f>
        <v>-74599.86</v>
      </c>
      <c r="H102" s="6"/>
      <c r="I102" s="7">
        <f>ROUND(SUM(I97:I101),5)</f>
        <v>3323.22</v>
      </c>
      <c r="J102" s="6"/>
      <c r="K102" s="7">
        <f>ROUND(SUM(K97:K101),5)</f>
        <v>0</v>
      </c>
      <c r="L102" s="6"/>
      <c r="M102" s="7">
        <f>ROUND(SUM(M97:M101),5)</f>
        <v>0</v>
      </c>
      <c r="N102" s="6"/>
      <c r="O102" s="7">
        <f>ROUND(SUM(O97:O101),5)</f>
        <v>0</v>
      </c>
      <c r="P102" s="6"/>
      <c r="Q102" s="7">
        <f>ROUND(SUM(Q97:Q101),5)</f>
        <v>0</v>
      </c>
      <c r="R102" s="6"/>
      <c r="S102" s="7">
        <f>ROUND(SUM(S97:S101),5)</f>
        <v>0</v>
      </c>
      <c r="T102" s="6"/>
      <c r="U102" s="7">
        <f>ROUND(SUM(U97:U101),5)</f>
        <v>0</v>
      </c>
      <c r="V102" s="6"/>
      <c r="W102" s="7">
        <f>ROUND(SUM(W97:W101),5)</f>
        <v>0</v>
      </c>
      <c r="X102" s="6"/>
      <c r="Y102" s="7">
        <f>ROUND(SUM(Y97:Y101),5)</f>
        <v>0</v>
      </c>
      <c r="Z102" s="6"/>
      <c r="AA102" s="7">
        <f>ROUND(SUM(AA97:AA101),5)</f>
        <v>0</v>
      </c>
      <c r="AB102" s="6"/>
      <c r="AC102" s="7">
        <f>ROUND(SUM(AC97:AC101),5)</f>
        <v>0</v>
      </c>
      <c r="AD102" s="6"/>
      <c r="AE102" s="7">
        <f>ROUND(SUM(AE97:AE101),5)</f>
        <v>0</v>
      </c>
      <c r="AF102" s="6"/>
      <c r="AG102" s="7">
        <f>ROUND(SUM(AG97:AG101),5)</f>
        <v>0</v>
      </c>
      <c r="AH102" s="6"/>
      <c r="AI102" s="7">
        <f>ROUND(SUM(AI97:AI101),5)</f>
        <v>0</v>
      </c>
      <c r="AJ102" s="6"/>
      <c r="AK102" s="7">
        <f>ROUND(SUM(AK97:AK101),5)</f>
        <v>0</v>
      </c>
      <c r="AL102" s="6"/>
      <c r="AM102" s="7">
        <f>ROUND(SUM(AM97:AM101),5)</f>
        <v>0</v>
      </c>
      <c r="AN102" s="6"/>
      <c r="AO102" s="7">
        <f>ROUND(SUM(AO97:AO101),5)</f>
        <v>0</v>
      </c>
      <c r="AP102" s="6"/>
      <c r="AQ102" s="7">
        <f>ROUND(SUM(AQ97:AQ101),5)</f>
        <v>0</v>
      </c>
      <c r="AR102" s="6"/>
      <c r="AS102" s="7">
        <f>ROUND(SUM(AS97:AS101),5)</f>
        <v>0</v>
      </c>
      <c r="AT102" s="6"/>
      <c r="AU102" s="7">
        <f>ROUND(SUM(AU97:AU101),5)</f>
        <v>131041.17</v>
      </c>
      <c r="AV102" s="6"/>
      <c r="AW102" s="7">
        <f>ROUND(SUM(G102:AU102),5)</f>
        <v>59764.53</v>
      </c>
    </row>
    <row r="103" spans="1:49">
      <c r="A103" s="4"/>
      <c r="B103" s="4"/>
      <c r="C103" s="4"/>
      <c r="D103" s="4"/>
      <c r="E103" s="4" t="s">
        <v>220</v>
      </c>
      <c r="F103" s="4"/>
      <c r="G103" s="7"/>
      <c r="H103" s="6"/>
      <c r="I103" s="7"/>
      <c r="J103" s="6"/>
      <c r="K103" s="7"/>
      <c r="L103" s="6"/>
      <c r="M103" s="7"/>
      <c r="N103" s="6"/>
      <c r="O103" s="7"/>
      <c r="P103" s="6"/>
      <c r="Q103" s="7"/>
      <c r="R103" s="6"/>
      <c r="S103" s="7"/>
      <c r="T103" s="6"/>
      <c r="U103" s="7"/>
      <c r="V103" s="6"/>
      <c r="W103" s="7"/>
      <c r="X103" s="6"/>
      <c r="Y103" s="7"/>
      <c r="Z103" s="6"/>
      <c r="AA103" s="7"/>
      <c r="AB103" s="6"/>
      <c r="AC103" s="7"/>
      <c r="AD103" s="6"/>
      <c r="AE103" s="7"/>
      <c r="AF103" s="6"/>
      <c r="AG103" s="7"/>
      <c r="AH103" s="6"/>
      <c r="AI103" s="7"/>
      <c r="AJ103" s="6"/>
      <c r="AK103" s="7"/>
      <c r="AL103" s="6"/>
      <c r="AM103" s="7"/>
      <c r="AN103" s="6"/>
      <c r="AO103" s="7"/>
      <c r="AP103" s="6"/>
      <c r="AQ103" s="7"/>
      <c r="AR103" s="6"/>
      <c r="AS103" s="7"/>
      <c r="AT103" s="6"/>
      <c r="AU103" s="7"/>
      <c r="AV103" s="6"/>
      <c r="AW103" s="7"/>
    </row>
    <row r="104" spans="1:49" ht="15.75" thickBot="1">
      <c r="A104" s="4"/>
      <c r="B104" s="4"/>
      <c r="C104" s="4"/>
      <c r="D104" s="4"/>
      <c r="E104" s="4"/>
      <c r="F104" s="4" t="s">
        <v>221</v>
      </c>
      <c r="G104" s="9">
        <v>0</v>
      </c>
      <c r="H104" s="6"/>
      <c r="I104" s="9">
        <v>0</v>
      </c>
      <c r="J104" s="6"/>
      <c r="K104" s="9">
        <v>0</v>
      </c>
      <c r="L104" s="6"/>
      <c r="M104" s="9">
        <v>0</v>
      </c>
      <c r="N104" s="6"/>
      <c r="O104" s="9">
        <v>0</v>
      </c>
      <c r="P104" s="6"/>
      <c r="Q104" s="9">
        <v>0</v>
      </c>
      <c r="R104" s="6"/>
      <c r="S104" s="9">
        <v>0</v>
      </c>
      <c r="T104" s="6"/>
      <c r="U104" s="9">
        <v>0</v>
      </c>
      <c r="V104" s="6"/>
      <c r="W104" s="9">
        <v>0</v>
      </c>
      <c r="X104" s="6"/>
      <c r="Y104" s="9">
        <v>10171.82</v>
      </c>
      <c r="Z104" s="6"/>
      <c r="AA104" s="9">
        <v>0</v>
      </c>
      <c r="AB104" s="6"/>
      <c r="AC104" s="9">
        <v>0</v>
      </c>
      <c r="AD104" s="6"/>
      <c r="AE104" s="9">
        <v>0</v>
      </c>
      <c r="AF104" s="6"/>
      <c r="AG104" s="9">
        <v>0</v>
      </c>
      <c r="AH104" s="6"/>
      <c r="AI104" s="9">
        <v>0</v>
      </c>
      <c r="AJ104" s="6"/>
      <c r="AK104" s="9">
        <v>0</v>
      </c>
      <c r="AL104" s="6"/>
      <c r="AM104" s="9">
        <v>0</v>
      </c>
      <c r="AN104" s="6"/>
      <c r="AO104" s="9">
        <v>0</v>
      </c>
      <c r="AP104" s="6"/>
      <c r="AQ104" s="9">
        <v>0</v>
      </c>
      <c r="AR104" s="6"/>
      <c r="AS104" s="9">
        <v>0</v>
      </c>
      <c r="AT104" s="6"/>
      <c r="AU104" s="9">
        <v>0</v>
      </c>
      <c r="AV104" s="6"/>
      <c r="AW104" s="9">
        <f>ROUND(SUM(G104:AU104),5)</f>
        <v>10171.82</v>
      </c>
    </row>
    <row r="105" spans="1:49">
      <c r="A105" s="4"/>
      <c r="B105" s="4"/>
      <c r="C105" s="4"/>
      <c r="D105" s="4"/>
      <c r="E105" s="4" t="s">
        <v>222</v>
      </c>
      <c r="F105" s="4"/>
      <c r="G105" s="7">
        <f>ROUND(SUM(G103:G104),5)</f>
        <v>0</v>
      </c>
      <c r="H105" s="6"/>
      <c r="I105" s="7">
        <f>ROUND(SUM(I103:I104),5)</f>
        <v>0</v>
      </c>
      <c r="J105" s="6"/>
      <c r="K105" s="7">
        <f>ROUND(SUM(K103:K104),5)</f>
        <v>0</v>
      </c>
      <c r="L105" s="6"/>
      <c r="M105" s="7">
        <f>ROUND(SUM(M103:M104),5)</f>
        <v>0</v>
      </c>
      <c r="N105" s="6"/>
      <c r="O105" s="7">
        <f>ROUND(SUM(O103:O104),5)</f>
        <v>0</v>
      </c>
      <c r="P105" s="6"/>
      <c r="Q105" s="7">
        <f>ROUND(SUM(Q103:Q104),5)</f>
        <v>0</v>
      </c>
      <c r="R105" s="6"/>
      <c r="S105" s="7">
        <f>ROUND(SUM(S103:S104),5)</f>
        <v>0</v>
      </c>
      <c r="T105" s="6"/>
      <c r="U105" s="7">
        <f>ROUND(SUM(U103:U104),5)</f>
        <v>0</v>
      </c>
      <c r="V105" s="6"/>
      <c r="W105" s="7">
        <f>ROUND(SUM(W103:W104),5)</f>
        <v>0</v>
      </c>
      <c r="X105" s="6"/>
      <c r="Y105" s="7">
        <f>ROUND(SUM(Y103:Y104),5)</f>
        <v>10171.82</v>
      </c>
      <c r="Z105" s="6"/>
      <c r="AA105" s="7">
        <f>ROUND(SUM(AA103:AA104),5)</f>
        <v>0</v>
      </c>
      <c r="AB105" s="6"/>
      <c r="AC105" s="7">
        <f>ROUND(SUM(AC103:AC104),5)</f>
        <v>0</v>
      </c>
      <c r="AD105" s="6"/>
      <c r="AE105" s="7">
        <f>ROUND(SUM(AE103:AE104),5)</f>
        <v>0</v>
      </c>
      <c r="AF105" s="6"/>
      <c r="AG105" s="7">
        <f>ROUND(SUM(AG103:AG104),5)</f>
        <v>0</v>
      </c>
      <c r="AH105" s="6"/>
      <c r="AI105" s="7">
        <f>ROUND(SUM(AI103:AI104),5)</f>
        <v>0</v>
      </c>
      <c r="AJ105" s="6"/>
      <c r="AK105" s="7">
        <f>ROUND(SUM(AK103:AK104),5)</f>
        <v>0</v>
      </c>
      <c r="AL105" s="6"/>
      <c r="AM105" s="7">
        <f>ROUND(SUM(AM103:AM104),5)</f>
        <v>0</v>
      </c>
      <c r="AN105" s="6"/>
      <c r="AO105" s="7">
        <f>ROUND(SUM(AO103:AO104),5)</f>
        <v>0</v>
      </c>
      <c r="AP105" s="6"/>
      <c r="AQ105" s="7">
        <f>ROUND(SUM(AQ103:AQ104),5)</f>
        <v>0</v>
      </c>
      <c r="AR105" s="6"/>
      <c r="AS105" s="7">
        <f>ROUND(SUM(AS103:AS104),5)</f>
        <v>0</v>
      </c>
      <c r="AT105" s="6"/>
      <c r="AU105" s="7">
        <f>ROUND(SUM(AU103:AU104),5)</f>
        <v>0</v>
      </c>
      <c r="AV105" s="6"/>
      <c r="AW105" s="7">
        <f>ROUND(SUM(G105:AU105),5)</f>
        <v>10171.82</v>
      </c>
    </row>
    <row r="106" spans="1:49">
      <c r="A106" s="4"/>
      <c r="B106" s="4"/>
      <c r="C106" s="4"/>
      <c r="D106" s="4"/>
      <c r="E106" s="4" t="s">
        <v>223</v>
      </c>
      <c r="F106" s="4"/>
      <c r="G106" s="7"/>
      <c r="H106" s="6"/>
      <c r="I106" s="7"/>
      <c r="J106" s="6"/>
      <c r="K106" s="7"/>
      <c r="L106" s="6"/>
      <c r="M106" s="7"/>
      <c r="N106" s="6"/>
      <c r="O106" s="7"/>
      <c r="P106" s="6"/>
      <c r="Q106" s="7"/>
      <c r="R106" s="6"/>
      <c r="S106" s="7"/>
      <c r="T106" s="6"/>
      <c r="U106" s="7"/>
      <c r="V106" s="6"/>
      <c r="W106" s="7"/>
      <c r="X106" s="6"/>
      <c r="Y106" s="7"/>
      <c r="Z106" s="6"/>
      <c r="AA106" s="7"/>
      <c r="AB106" s="6"/>
      <c r="AC106" s="7"/>
      <c r="AD106" s="6"/>
      <c r="AE106" s="7"/>
      <c r="AF106" s="6"/>
      <c r="AG106" s="7"/>
      <c r="AH106" s="6"/>
      <c r="AI106" s="7"/>
      <c r="AJ106" s="6"/>
      <c r="AK106" s="7"/>
      <c r="AL106" s="6"/>
      <c r="AM106" s="7"/>
      <c r="AN106" s="6"/>
      <c r="AO106" s="7"/>
      <c r="AP106" s="6"/>
      <c r="AQ106" s="7"/>
      <c r="AR106" s="6"/>
      <c r="AS106" s="7"/>
      <c r="AT106" s="6"/>
      <c r="AU106" s="7"/>
      <c r="AV106" s="6"/>
      <c r="AW106" s="7"/>
    </row>
    <row r="107" spans="1:49" ht="15.75" thickBot="1">
      <c r="A107" s="4"/>
      <c r="B107" s="4"/>
      <c r="C107" s="4"/>
      <c r="D107" s="4"/>
      <c r="E107" s="4"/>
      <c r="F107" s="4" t="s">
        <v>224</v>
      </c>
      <c r="G107" s="9">
        <v>0</v>
      </c>
      <c r="H107" s="6"/>
      <c r="I107" s="9">
        <v>0</v>
      </c>
      <c r="J107" s="6"/>
      <c r="K107" s="9">
        <v>0</v>
      </c>
      <c r="L107" s="6"/>
      <c r="M107" s="9">
        <v>0</v>
      </c>
      <c r="N107" s="6"/>
      <c r="O107" s="9">
        <v>0</v>
      </c>
      <c r="P107" s="6"/>
      <c r="Q107" s="9">
        <v>0</v>
      </c>
      <c r="R107" s="6"/>
      <c r="S107" s="9">
        <v>0</v>
      </c>
      <c r="T107" s="6"/>
      <c r="U107" s="9">
        <v>0</v>
      </c>
      <c r="V107" s="6"/>
      <c r="W107" s="9">
        <v>0</v>
      </c>
      <c r="X107" s="6"/>
      <c r="Y107" s="9">
        <v>11522.82</v>
      </c>
      <c r="Z107" s="6"/>
      <c r="AA107" s="9">
        <v>7.72</v>
      </c>
      <c r="AB107" s="6"/>
      <c r="AC107" s="9">
        <v>0</v>
      </c>
      <c r="AD107" s="6"/>
      <c r="AE107" s="9">
        <v>0</v>
      </c>
      <c r="AF107" s="6"/>
      <c r="AG107" s="9">
        <v>0</v>
      </c>
      <c r="AH107" s="6"/>
      <c r="AI107" s="9">
        <v>0</v>
      </c>
      <c r="AJ107" s="6"/>
      <c r="AK107" s="9">
        <v>0</v>
      </c>
      <c r="AL107" s="6"/>
      <c r="AM107" s="9">
        <v>0</v>
      </c>
      <c r="AN107" s="6"/>
      <c r="AO107" s="9">
        <v>0</v>
      </c>
      <c r="AP107" s="6"/>
      <c r="AQ107" s="9">
        <v>0</v>
      </c>
      <c r="AR107" s="6"/>
      <c r="AS107" s="9">
        <v>0</v>
      </c>
      <c r="AT107" s="6"/>
      <c r="AU107" s="9">
        <v>0</v>
      </c>
      <c r="AV107" s="6"/>
      <c r="AW107" s="9">
        <f>ROUND(SUM(G107:AU107),5)</f>
        <v>11530.54</v>
      </c>
    </row>
    <row r="108" spans="1:49">
      <c r="A108" s="4"/>
      <c r="B108" s="4"/>
      <c r="C108" s="4"/>
      <c r="D108" s="4"/>
      <c r="E108" s="4" t="s">
        <v>225</v>
      </c>
      <c r="F108" s="4"/>
      <c r="G108" s="7">
        <f>ROUND(SUM(G106:G107),5)</f>
        <v>0</v>
      </c>
      <c r="H108" s="6"/>
      <c r="I108" s="7">
        <f>ROUND(SUM(I106:I107),5)</f>
        <v>0</v>
      </c>
      <c r="J108" s="6"/>
      <c r="K108" s="7">
        <f>ROUND(SUM(K106:K107),5)</f>
        <v>0</v>
      </c>
      <c r="L108" s="6"/>
      <c r="M108" s="7">
        <f>ROUND(SUM(M106:M107),5)</f>
        <v>0</v>
      </c>
      <c r="N108" s="6"/>
      <c r="O108" s="7">
        <f>ROUND(SUM(O106:O107),5)</f>
        <v>0</v>
      </c>
      <c r="P108" s="6"/>
      <c r="Q108" s="7">
        <f>ROUND(SUM(Q106:Q107),5)</f>
        <v>0</v>
      </c>
      <c r="R108" s="6"/>
      <c r="S108" s="7">
        <f>ROUND(SUM(S106:S107),5)</f>
        <v>0</v>
      </c>
      <c r="T108" s="6"/>
      <c r="U108" s="7">
        <f>ROUND(SUM(U106:U107),5)</f>
        <v>0</v>
      </c>
      <c r="V108" s="6"/>
      <c r="W108" s="7">
        <f>ROUND(SUM(W106:W107),5)</f>
        <v>0</v>
      </c>
      <c r="X108" s="6"/>
      <c r="Y108" s="7">
        <f>ROUND(SUM(Y106:Y107),5)</f>
        <v>11522.82</v>
      </c>
      <c r="Z108" s="6"/>
      <c r="AA108" s="7">
        <f>ROUND(SUM(AA106:AA107),5)</f>
        <v>7.72</v>
      </c>
      <c r="AB108" s="6"/>
      <c r="AC108" s="7">
        <f>ROUND(SUM(AC106:AC107),5)</f>
        <v>0</v>
      </c>
      <c r="AD108" s="6"/>
      <c r="AE108" s="7">
        <f>ROUND(SUM(AE106:AE107),5)</f>
        <v>0</v>
      </c>
      <c r="AF108" s="6"/>
      <c r="AG108" s="7">
        <f>ROUND(SUM(AG106:AG107),5)</f>
        <v>0</v>
      </c>
      <c r="AH108" s="6"/>
      <c r="AI108" s="7">
        <f>ROUND(SUM(AI106:AI107),5)</f>
        <v>0</v>
      </c>
      <c r="AJ108" s="6"/>
      <c r="AK108" s="7">
        <f>ROUND(SUM(AK106:AK107),5)</f>
        <v>0</v>
      </c>
      <c r="AL108" s="6"/>
      <c r="AM108" s="7">
        <f>ROUND(SUM(AM106:AM107),5)</f>
        <v>0</v>
      </c>
      <c r="AN108" s="6"/>
      <c r="AO108" s="7">
        <f>ROUND(SUM(AO106:AO107),5)</f>
        <v>0</v>
      </c>
      <c r="AP108" s="6"/>
      <c r="AQ108" s="7">
        <f>ROUND(SUM(AQ106:AQ107),5)</f>
        <v>0</v>
      </c>
      <c r="AR108" s="6"/>
      <c r="AS108" s="7">
        <f>ROUND(SUM(AS106:AS107),5)</f>
        <v>0</v>
      </c>
      <c r="AT108" s="6"/>
      <c r="AU108" s="7">
        <f>ROUND(SUM(AU106:AU107),5)</f>
        <v>0</v>
      </c>
      <c r="AV108" s="6"/>
      <c r="AW108" s="7">
        <f>ROUND(SUM(G108:AU108),5)</f>
        <v>11530.54</v>
      </c>
    </row>
    <row r="109" spans="1:49">
      <c r="A109" s="4"/>
      <c r="B109" s="4"/>
      <c r="C109" s="4"/>
      <c r="D109" s="4"/>
      <c r="E109" s="4" t="s">
        <v>226</v>
      </c>
      <c r="F109" s="4"/>
      <c r="G109" s="7"/>
      <c r="H109" s="6"/>
      <c r="I109" s="7"/>
      <c r="J109" s="6"/>
      <c r="K109" s="7"/>
      <c r="L109" s="6"/>
      <c r="M109" s="7"/>
      <c r="N109" s="6"/>
      <c r="O109" s="7"/>
      <c r="P109" s="6"/>
      <c r="Q109" s="7"/>
      <c r="R109" s="6"/>
      <c r="S109" s="7"/>
      <c r="T109" s="6"/>
      <c r="U109" s="7"/>
      <c r="V109" s="6"/>
      <c r="W109" s="7"/>
      <c r="X109" s="6"/>
      <c r="Y109" s="7"/>
      <c r="Z109" s="6"/>
      <c r="AA109" s="7"/>
      <c r="AB109" s="6"/>
      <c r="AC109" s="7"/>
      <c r="AD109" s="6"/>
      <c r="AE109" s="7"/>
      <c r="AF109" s="6"/>
      <c r="AG109" s="7"/>
      <c r="AH109" s="6"/>
      <c r="AI109" s="7"/>
      <c r="AJ109" s="6"/>
      <c r="AK109" s="7"/>
      <c r="AL109" s="6"/>
      <c r="AM109" s="7"/>
      <c r="AN109" s="6"/>
      <c r="AO109" s="7"/>
      <c r="AP109" s="6"/>
      <c r="AQ109" s="7"/>
      <c r="AR109" s="6"/>
      <c r="AS109" s="7"/>
      <c r="AT109" s="6"/>
      <c r="AU109" s="7"/>
      <c r="AV109" s="6"/>
      <c r="AW109" s="7"/>
    </row>
    <row r="110" spans="1:49" ht="15.75" thickBot="1">
      <c r="A110" s="4"/>
      <c r="B110" s="4"/>
      <c r="C110" s="4"/>
      <c r="D110" s="4"/>
      <c r="E110" s="4"/>
      <c r="F110" s="4" t="s">
        <v>227</v>
      </c>
      <c r="G110" s="9">
        <v>0</v>
      </c>
      <c r="H110" s="6"/>
      <c r="I110" s="9">
        <v>0</v>
      </c>
      <c r="J110" s="6"/>
      <c r="K110" s="9">
        <v>0</v>
      </c>
      <c r="L110" s="6"/>
      <c r="M110" s="9">
        <v>0</v>
      </c>
      <c r="N110" s="6"/>
      <c r="O110" s="9">
        <v>0</v>
      </c>
      <c r="P110" s="6"/>
      <c r="Q110" s="9">
        <v>0</v>
      </c>
      <c r="R110" s="6"/>
      <c r="S110" s="9">
        <v>0</v>
      </c>
      <c r="T110" s="6"/>
      <c r="U110" s="9">
        <v>0</v>
      </c>
      <c r="V110" s="6"/>
      <c r="W110" s="9">
        <v>0</v>
      </c>
      <c r="X110" s="6"/>
      <c r="Y110" s="9">
        <v>-29289.61</v>
      </c>
      <c r="Z110" s="6"/>
      <c r="AA110" s="9">
        <v>0</v>
      </c>
      <c r="AB110" s="6"/>
      <c r="AC110" s="9">
        <v>0</v>
      </c>
      <c r="AD110" s="6"/>
      <c r="AE110" s="9">
        <v>0</v>
      </c>
      <c r="AF110" s="6"/>
      <c r="AG110" s="9">
        <v>0</v>
      </c>
      <c r="AH110" s="6"/>
      <c r="AI110" s="9">
        <v>0</v>
      </c>
      <c r="AJ110" s="6"/>
      <c r="AK110" s="9">
        <v>0</v>
      </c>
      <c r="AL110" s="6"/>
      <c r="AM110" s="9">
        <v>0</v>
      </c>
      <c r="AN110" s="6"/>
      <c r="AO110" s="9">
        <v>0</v>
      </c>
      <c r="AP110" s="6"/>
      <c r="AQ110" s="9">
        <v>0</v>
      </c>
      <c r="AR110" s="6"/>
      <c r="AS110" s="9">
        <v>0</v>
      </c>
      <c r="AT110" s="6"/>
      <c r="AU110" s="9">
        <v>50024.61</v>
      </c>
      <c r="AV110" s="6"/>
      <c r="AW110" s="9">
        <f>ROUND(SUM(G110:AU110),5)</f>
        <v>20735</v>
      </c>
    </row>
    <row r="111" spans="1:49">
      <c r="A111" s="4"/>
      <c r="B111" s="4"/>
      <c r="C111" s="4"/>
      <c r="D111" s="4"/>
      <c r="E111" s="4" t="s">
        <v>229</v>
      </c>
      <c r="F111" s="4"/>
      <c r="G111" s="7">
        <f>ROUND(SUM(G109:G110),5)</f>
        <v>0</v>
      </c>
      <c r="H111" s="6"/>
      <c r="I111" s="7">
        <f>ROUND(SUM(I109:I110),5)</f>
        <v>0</v>
      </c>
      <c r="J111" s="6"/>
      <c r="K111" s="7">
        <f>ROUND(SUM(K109:K110),5)</f>
        <v>0</v>
      </c>
      <c r="L111" s="6"/>
      <c r="M111" s="7">
        <f>ROUND(SUM(M109:M110),5)</f>
        <v>0</v>
      </c>
      <c r="N111" s="6"/>
      <c r="O111" s="7">
        <f>ROUND(SUM(O109:O110),5)</f>
        <v>0</v>
      </c>
      <c r="P111" s="6"/>
      <c r="Q111" s="7">
        <f>ROUND(SUM(Q109:Q110),5)</f>
        <v>0</v>
      </c>
      <c r="R111" s="6"/>
      <c r="S111" s="7">
        <f>ROUND(SUM(S109:S110),5)</f>
        <v>0</v>
      </c>
      <c r="T111" s="6"/>
      <c r="U111" s="7">
        <f>ROUND(SUM(U109:U110),5)</f>
        <v>0</v>
      </c>
      <c r="V111" s="6"/>
      <c r="W111" s="7">
        <f>ROUND(SUM(W109:W110),5)</f>
        <v>0</v>
      </c>
      <c r="X111" s="6"/>
      <c r="Y111" s="7">
        <f>ROUND(SUM(Y109:Y110),5)</f>
        <v>-29289.61</v>
      </c>
      <c r="Z111" s="6"/>
      <c r="AA111" s="7">
        <f>ROUND(SUM(AA109:AA110),5)</f>
        <v>0</v>
      </c>
      <c r="AB111" s="6"/>
      <c r="AC111" s="7">
        <f>ROUND(SUM(AC109:AC110),5)</f>
        <v>0</v>
      </c>
      <c r="AD111" s="6"/>
      <c r="AE111" s="7">
        <f>ROUND(SUM(AE109:AE110),5)</f>
        <v>0</v>
      </c>
      <c r="AF111" s="6"/>
      <c r="AG111" s="7">
        <f>ROUND(SUM(AG109:AG110),5)</f>
        <v>0</v>
      </c>
      <c r="AH111" s="6"/>
      <c r="AI111" s="7">
        <f>ROUND(SUM(AI109:AI110),5)</f>
        <v>0</v>
      </c>
      <c r="AJ111" s="6"/>
      <c r="AK111" s="7">
        <f>ROUND(SUM(AK109:AK110),5)</f>
        <v>0</v>
      </c>
      <c r="AL111" s="6"/>
      <c r="AM111" s="7">
        <f>ROUND(SUM(AM109:AM110),5)</f>
        <v>0</v>
      </c>
      <c r="AN111" s="6"/>
      <c r="AO111" s="7">
        <f>ROUND(SUM(AO109:AO110),5)</f>
        <v>0</v>
      </c>
      <c r="AP111" s="6"/>
      <c r="AQ111" s="7">
        <f>ROUND(SUM(AQ109:AQ110),5)</f>
        <v>0</v>
      </c>
      <c r="AR111" s="6"/>
      <c r="AS111" s="7">
        <f>ROUND(SUM(AS109:AS110),5)</f>
        <v>0</v>
      </c>
      <c r="AT111" s="6"/>
      <c r="AU111" s="7">
        <f>ROUND(SUM(AU109:AU110),5)</f>
        <v>50024.61</v>
      </c>
      <c r="AV111" s="6"/>
      <c r="AW111" s="7">
        <f>ROUND(SUM(G111:AU111),5)</f>
        <v>20735</v>
      </c>
    </row>
    <row r="112" spans="1:49">
      <c r="A112" s="4"/>
      <c r="B112" s="4"/>
      <c r="C112" s="4"/>
      <c r="D112" s="4"/>
      <c r="E112" s="4" t="s">
        <v>230</v>
      </c>
      <c r="F112" s="4"/>
      <c r="G112" s="7"/>
      <c r="H112" s="6"/>
      <c r="I112" s="7"/>
      <c r="J112" s="6"/>
      <c r="K112" s="7"/>
      <c r="L112" s="6"/>
      <c r="M112" s="7"/>
      <c r="N112" s="6"/>
      <c r="O112" s="7"/>
      <c r="P112" s="6"/>
      <c r="Q112" s="7"/>
      <c r="R112" s="6"/>
      <c r="S112" s="7"/>
      <c r="T112" s="6"/>
      <c r="U112" s="7"/>
      <c r="V112" s="6"/>
      <c r="W112" s="7"/>
      <c r="X112" s="6"/>
      <c r="Y112" s="7"/>
      <c r="Z112" s="6"/>
      <c r="AA112" s="7"/>
      <c r="AB112" s="6"/>
      <c r="AC112" s="7"/>
      <c r="AD112" s="6"/>
      <c r="AE112" s="7"/>
      <c r="AF112" s="6"/>
      <c r="AG112" s="7"/>
      <c r="AH112" s="6"/>
      <c r="AI112" s="7"/>
      <c r="AJ112" s="6"/>
      <c r="AK112" s="7"/>
      <c r="AL112" s="6"/>
      <c r="AM112" s="7"/>
      <c r="AN112" s="6"/>
      <c r="AO112" s="7"/>
      <c r="AP112" s="6"/>
      <c r="AQ112" s="7"/>
      <c r="AR112" s="6"/>
      <c r="AS112" s="7"/>
      <c r="AT112" s="6"/>
      <c r="AU112" s="7"/>
      <c r="AV112" s="6"/>
      <c r="AW112" s="7"/>
    </row>
    <row r="113" spans="1:49" ht="15.75" thickBot="1">
      <c r="A113" s="4"/>
      <c r="B113" s="4"/>
      <c r="C113" s="4"/>
      <c r="D113" s="4"/>
      <c r="E113" s="4"/>
      <c r="F113" s="4" t="s">
        <v>231</v>
      </c>
      <c r="G113" s="9">
        <v>-75</v>
      </c>
      <c r="H113" s="6"/>
      <c r="I113" s="9">
        <v>0</v>
      </c>
      <c r="J113" s="6"/>
      <c r="K113" s="9">
        <v>0</v>
      </c>
      <c r="L113" s="6"/>
      <c r="M113" s="9">
        <v>0</v>
      </c>
      <c r="N113" s="6"/>
      <c r="O113" s="9">
        <v>0</v>
      </c>
      <c r="P113" s="6"/>
      <c r="Q113" s="9">
        <v>0</v>
      </c>
      <c r="R113" s="6"/>
      <c r="S113" s="9">
        <v>0</v>
      </c>
      <c r="T113" s="6"/>
      <c r="U113" s="9">
        <v>0</v>
      </c>
      <c r="V113" s="6"/>
      <c r="W113" s="9">
        <v>0</v>
      </c>
      <c r="X113" s="6"/>
      <c r="Y113" s="9">
        <v>75</v>
      </c>
      <c r="Z113" s="6"/>
      <c r="AA113" s="9">
        <v>0</v>
      </c>
      <c r="AB113" s="6"/>
      <c r="AC113" s="9">
        <v>0</v>
      </c>
      <c r="AD113" s="6"/>
      <c r="AE113" s="9">
        <v>0</v>
      </c>
      <c r="AF113" s="6"/>
      <c r="AG113" s="9">
        <v>0</v>
      </c>
      <c r="AH113" s="6"/>
      <c r="AI113" s="9">
        <v>0</v>
      </c>
      <c r="AJ113" s="6"/>
      <c r="AK113" s="9">
        <v>0</v>
      </c>
      <c r="AL113" s="6"/>
      <c r="AM113" s="9">
        <v>0</v>
      </c>
      <c r="AN113" s="6"/>
      <c r="AO113" s="9">
        <v>0</v>
      </c>
      <c r="AP113" s="6"/>
      <c r="AQ113" s="9">
        <v>0</v>
      </c>
      <c r="AR113" s="6"/>
      <c r="AS113" s="9">
        <v>0</v>
      </c>
      <c r="AT113" s="6"/>
      <c r="AU113" s="9">
        <v>0</v>
      </c>
      <c r="AV113" s="6"/>
      <c r="AW113" s="9">
        <f>ROUND(SUM(G113:AU113),5)</f>
        <v>0</v>
      </c>
    </row>
    <row r="114" spans="1:49">
      <c r="A114" s="4"/>
      <c r="B114" s="4"/>
      <c r="C114" s="4"/>
      <c r="D114" s="4"/>
      <c r="E114" s="4" t="s">
        <v>232</v>
      </c>
      <c r="F114" s="4"/>
      <c r="G114" s="7">
        <f>ROUND(SUM(G112:G113),5)</f>
        <v>-75</v>
      </c>
      <c r="H114" s="6"/>
      <c r="I114" s="7">
        <f>ROUND(SUM(I112:I113),5)</f>
        <v>0</v>
      </c>
      <c r="J114" s="6"/>
      <c r="K114" s="7">
        <f>ROUND(SUM(K112:K113),5)</f>
        <v>0</v>
      </c>
      <c r="L114" s="6"/>
      <c r="M114" s="7">
        <f>ROUND(SUM(M112:M113),5)</f>
        <v>0</v>
      </c>
      <c r="N114" s="6"/>
      <c r="O114" s="7">
        <f>ROUND(SUM(O112:O113),5)</f>
        <v>0</v>
      </c>
      <c r="P114" s="6"/>
      <c r="Q114" s="7">
        <f>ROUND(SUM(Q112:Q113),5)</f>
        <v>0</v>
      </c>
      <c r="R114" s="6"/>
      <c r="S114" s="7">
        <f>ROUND(SUM(S112:S113),5)</f>
        <v>0</v>
      </c>
      <c r="T114" s="6"/>
      <c r="U114" s="7">
        <f>ROUND(SUM(U112:U113),5)</f>
        <v>0</v>
      </c>
      <c r="V114" s="6"/>
      <c r="W114" s="7">
        <f>ROUND(SUM(W112:W113),5)</f>
        <v>0</v>
      </c>
      <c r="X114" s="6"/>
      <c r="Y114" s="7">
        <f>ROUND(SUM(Y112:Y113),5)</f>
        <v>75</v>
      </c>
      <c r="Z114" s="6"/>
      <c r="AA114" s="7">
        <f>ROUND(SUM(AA112:AA113),5)</f>
        <v>0</v>
      </c>
      <c r="AB114" s="6"/>
      <c r="AC114" s="7">
        <f>ROUND(SUM(AC112:AC113),5)</f>
        <v>0</v>
      </c>
      <c r="AD114" s="6"/>
      <c r="AE114" s="7">
        <f>ROUND(SUM(AE112:AE113),5)</f>
        <v>0</v>
      </c>
      <c r="AF114" s="6"/>
      <c r="AG114" s="7">
        <f>ROUND(SUM(AG112:AG113),5)</f>
        <v>0</v>
      </c>
      <c r="AH114" s="6"/>
      <c r="AI114" s="7">
        <f>ROUND(SUM(AI112:AI113),5)</f>
        <v>0</v>
      </c>
      <c r="AJ114" s="6"/>
      <c r="AK114" s="7">
        <f>ROUND(SUM(AK112:AK113),5)</f>
        <v>0</v>
      </c>
      <c r="AL114" s="6"/>
      <c r="AM114" s="7">
        <f>ROUND(SUM(AM112:AM113),5)</f>
        <v>0</v>
      </c>
      <c r="AN114" s="6"/>
      <c r="AO114" s="7">
        <f>ROUND(SUM(AO112:AO113),5)</f>
        <v>0</v>
      </c>
      <c r="AP114" s="6"/>
      <c r="AQ114" s="7">
        <f>ROUND(SUM(AQ112:AQ113),5)</f>
        <v>0</v>
      </c>
      <c r="AR114" s="6"/>
      <c r="AS114" s="7">
        <f>ROUND(SUM(AS112:AS113),5)</f>
        <v>0</v>
      </c>
      <c r="AT114" s="6"/>
      <c r="AU114" s="7">
        <f>ROUND(SUM(AU112:AU113),5)</f>
        <v>0</v>
      </c>
      <c r="AV114" s="6"/>
      <c r="AW114" s="7">
        <f>ROUND(SUM(G114:AU114),5)</f>
        <v>0</v>
      </c>
    </row>
    <row r="115" spans="1:49">
      <c r="A115" s="4"/>
      <c r="B115" s="4"/>
      <c r="C115" s="4"/>
      <c r="D115" s="4"/>
      <c r="E115" s="4" t="s">
        <v>233</v>
      </c>
      <c r="F115" s="4"/>
      <c r="G115" s="7"/>
      <c r="H115" s="6"/>
      <c r="I115" s="7"/>
      <c r="J115" s="6"/>
      <c r="K115" s="7"/>
      <c r="L115" s="6"/>
      <c r="M115" s="7"/>
      <c r="N115" s="6"/>
      <c r="O115" s="7"/>
      <c r="P115" s="6"/>
      <c r="Q115" s="7"/>
      <c r="R115" s="6"/>
      <c r="S115" s="7"/>
      <c r="T115" s="6"/>
      <c r="U115" s="7"/>
      <c r="V115" s="6"/>
      <c r="W115" s="7"/>
      <c r="X115" s="6"/>
      <c r="Y115" s="7"/>
      <c r="Z115" s="6"/>
      <c r="AA115" s="7"/>
      <c r="AB115" s="6"/>
      <c r="AC115" s="7"/>
      <c r="AD115" s="6"/>
      <c r="AE115" s="7"/>
      <c r="AF115" s="6"/>
      <c r="AG115" s="7"/>
      <c r="AH115" s="6"/>
      <c r="AI115" s="7"/>
      <c r="AJ115" s="6"/>
      <c r="AK115" s="7"/>
      <c r="AL115" s="6"/>
      <c r="AM115" s="7"/>
      <c r="AN115" s="6"/>
      <c r="AO115" s="7"/>
      <c r="AP115" s="6"/>
      <c r="AQ115" s="7"/>
      <c r="AR115" s="6"/>
      <c r="AS115" s="7"/>
      <c r="AT115" s="6"/>
      <c r="AU115" s="7"/>
      <c r="AV115" s="6"/>
      <c r="AW115" s="7"/>
    </row>
    <row r="116" spans="1:49" ht="15.75" thickBot="1">
      <c r="A116" s="4"/>
      <c r="B116" s="4"/>
      <c r="C116" s="4"/>
      <c r="D116" s="4"/>
      <c r="E116" s="4"/>
      <c r="F116" s="4" t="s">
        <v>234</v>
      </c>
      <c r="G116" s="9">
        <v>0</v>
      </c>
      <c r="H116" s="6"/>
      <c r="I116" s="9">
        <v>0</v>
      </c>
      <c r="J116" s="6"/>
      <c r="K116" s="9">
        <v>0</v>
      </c>
      <c r="L116" s="6"/>
      <c r="M116" s="9">
        <v>0</v>
      </c>
      <c r="N116" s="6"/>
      <c r="O116" s="9">
        <v>0</v>
      </c>
      <c r="P116" s="6"/>
      <c r="Q116" s="9">
        <v>0</v>
      </c>
      <c r="R116" s="6"/>
      <c r="S116" s="9">
        <v>0</v>
      </c>
      <c r="T116" s="6"/>
      <c r="U116" s="9">
        <v>0</v>
      </c>
      <c r="V116" s="6"/>
      <c r="W116" s="9">
        <v>0</v>
      </c>
      <c r="X116" s="6"/>
      <c r="Y116" s="9">
        <v>511.24</v>
      </c>
      <c r="Z116" s="6"/>
      <c r="AA116" s="9">
        <v>0</v>
      </c>
      <c r="AB116" s="6"/>
      <c r="AC116" s="9">
        <v>0</v>
      </c>
      <c r="AD116" s="6"/>
      <c r="AE116" s="9">
        <v>0</v>
      </c>
      <c r="AF116" s="6"/>
      <c r="AG116" s="9">
        <v>0</v>
      </c>
      <c r="AH116" s="6"/>
      <c r="AI116" s="9">
        <v>0</v>
      </c>
      <c r="AJ116" s="6"/>
      <c r="AK116" s="9">
        <v>0</v>
      </c>
      <c r="AL116" s="6"/>
      <c r="AM116" s="9">
        <v>0</v>
      </c>
      <c r="AN116" s="6"/>
      <c r="AO116" s="9">
        <v>0</v>
      </c>
      <c r="AP116" s="6"/>
      <c r="AQ116" s="9">
        <v>0</v>
      </c>
      <c r="AR116" s="6"/>
      <c r="AS116" s="9">
        <v>0</v>
      </c>
      <c r="AT116" s="6"/>
      <c r="AU116" s="9">
        <v>0</v>
      </c>
      <c r="AV116" s="6"/>
      <c r="AW116" s="9">
        <f>ROUND(SUM(G116:AU116),5)</f>
        <v>511.24</v>
      </c>
    </row>
    <row r="117" spans="1:49">
      <c r="A117" s="4"/>
      <c r="B117" s="4"/>
      <c r="C117" s="4"/>
      <c r="D117" s="4"/>
      <c r="E117" s="4" t="s">
        <v>235</v>
      </c>
      <c r="F117" s="4"/>
      <c r="G117" s="7">
        <f>ROUND(SUM(G115:G116),5)</f>
        <v>0</v>
      </c>
      <c r="H117" s="6"/>
      <c r="I117" s="7">
        <f>ROUND(SUM(I115:I116),5)</f>
        <v>0</v>
      </c>
      <c r="J117" s="6"/>
      <c r="K117" s="7">
        <f>ROUND(SUM(K115:K116),5)</f>
        <v>0</v>
      </c>
      <c r="L117" s="6"/>
      <c r="M117" s="7">
        <f>ROUND(SUM(M115:M116),5)</f>
        <v>0</v>
      </c>
      <c r="N117" s="6"/>
      <c r="O117" s="7">
        <f>ROUND(SUM(O115:O116),5)</f>
        <v>0</v>
      </c>
      <c r="P117" s="6"/>
      <c r="Q117" s="7">
        <f>ROUND(SUM(Q115:Q116),5)</f>
        <v>0</v>
      </c>
      <c r="R117" s="6"/>
      <c r="S117" s="7">
        <f>ROUND(SUM(S115:S116),5)</f>
        <v>0</v>
      </c>
      <c r="T117" s="6"/>
      <c r="U117" s="7">
        <f>ROUND(SUM(U115:U116),5)</f>
        <v>0</v>
      </c>
      <c r="V117" s="6"/>
      <c r="W117" s="7">
        <f>ROUND(SUM(W115:W116),5)</f>
        <v>0</v>
      </c>
      <c r="X117" s="6"/>
      <c r="Y117" s="7">
        <f>ROUND(SUM(Y115:Y116),5)</f>
        <v>511.24</v>
      </c>
      <c r="Z117" s="6"/>
      <c r="AA117" s="7">
        <f>ROUND(SUM(AA115:AA116),5)</f>
        <v>0</v>
      </c>
      <c r="AB117" s="6"/>
      <c r="AC117" s="7">
        <f>ROUND(SUM(AC115:AC116),5)</f>
        <v>0</v>
      </c>
      <c r="AD117" s="6"/>
      <c r="AE117" s="7">
        <f>ROUND(SUM(AE115:AE116),5)</f>
        <v>0</v>
      </c>
      <c r="AF117" s="6"/>
      <c r="AG117" s="7">
        <f>ROUND(SUM(AG115:AG116),5)</f>
        <v>0</v>
      </c>
      <c r="AH117" s="6"/>
      <c r="AI117" s="7">
        <f>ROUND(SUM(AI115:AI116),5)</f>
        <v>0</v>
      </c>
      <c r="AJ117" s="6"/>
      <c r="AK117" s="7">
        <f>ROUND(SUM(AK115:AK116),5)</f>
        <v>0</v>
      </c>
      <c r="AL117" s="6"/>
      <c r="AM117" s="7">
        <f>ROUND(SUM(AM115:AM116),5)</f>
        <v>0</v>
      </c>
      <c r="AN117" s="6"/>
      <c r="AO117" s="7">
        <f>ROUND(SUM(AO115:AO116),5)</f>
        <v>0</v>
      </c>
      <c r="AP117" s="6"/>
      <c r="AQ117" s="7">
        <f>ROUND(SUM(AQ115:AQ116),5)</f>
        <v>0</v>
      </c>
      <c r="AR117" s="6"/>
      <c r="AS117" s="7">
        <f>ROUND(SUM(AS115:AS116),5)</f>
        <v>0</v>
      </c>
      <c r="AT117" s="6"/>
      <c r="AU117" s="7">
        <f>ROUND(SUM(AU115:AU116),5)</f>
        <v>0</v>
      </c>
      <c r="AV117" s="6"/>
      <c r="AW117" s="7">
        <f>ROUND(SUM(G117:AU117),5)</f>
        <v>511.24</v>
      </c>
    </row>
    <row r="118" spans="1:49">
      <c r="A118" s="4"/>
      <c r="B118" s="4"/>
      <c r="C118" s="4"/>
      <c r="D118" s="4"/>
      <c r="E118" s="4" t="s">
        <v>236</v>
      </c>
      <c r="F118" s="4"/>
      <c r="G118" s="7"/>
      <c r="H118" s="6"/>
      <c r="I118" s="7"/>
      <c r="J118" s="6"/>
      <c r="K118" s="7"/>
      <c r="L118" s="6"/>
      <c r="M118" s="7"/>
      <c r="N118" s="6"/>
      <c r="O118" s="7"/>
      <c r="P118" s="6"/>
      <c r="Q118" s="7"/>
      <c r="R118" s="6"/>
      <c r="S118" s="7"/>
      <c r="T118" s="6"/>
      <c r="U118" s="7"/>
      <c r="V118" s="6"/>
      <c r="W118" s="7"/>
      <c r="X118" s="6"/>
      <c r="Y118" s="7"/>
      <c r="Z118" s="6"/>
      <c r="AA118" s="7"/>
      <c r="AB118" s="6"/>
      <c r="AC118" s="7"/>
      <c r="AD118" s="6"/>
      <c r="AE118" s="7"/>
      <c r="AF118" s="6"/>
      <c r="AG118" s="7"/>
      <c r="AH118" s="6"/>
      <c r="AI118" s="7"/>
      <c r="AJ118" s="6"/>
      <c r="AK118" s="7"/>
      <c r="AL118" s="6"/>
      <c r="AM118" s="7"/>
      <c r="AN118" s="6"/>
      <c r="AO118" s="7"/>
      <c r="AP118" s="6"/>
      <c r="AQ118" s="7"/>
      <c r="AR118" s="6"/>
      <c r="AS118" s="7"/>
      <c r="AT118" s="6"/>
      <c r="AU118" s="7"/>
      <c r="AV118" s="6"/>
      <c r="AW118" s="7"/>
    </row>
    <row r="119" spans="1:49">
      <c r="A119" s="4"/>
      <c r="B119" s="4"/>
      <c r="C119" s="4"/>
      <c r="D119" s="4"/>
      <c r="E119" s="4"/>
      <c r="F119" s="4" t="s">
        <v>237</v>
      </c>
      <c r="G119" s="7">
        <v>0</v>
      </c>
      <c r="H119" s="6"/>
      <c r="I119" s="7">
        <v>0</v>
      </c>
      <c r="J119" s="6"/>
      <c r="K119" s="7">
        <v>0</v>
      </c>
      <c r="L119" s="6"/>
      <c r="M119" s="7">
        <v>0</v>
      </c>
      <c r="N119" s="6"/>
      <c r="O119" s="7">
        <v>0</v>
      </c>
      <c r="P119" s="6"/>
      <c r="Q119" s="7">
        <v>0</v>
      </c>
      <c r="R119" s="6"/>
      <c r="S119" s="7">
        <v>0</v>
      </c>
      <c r="T119" s="6"/>
      <c r="U119" s="7">
        <v>0</v>
      </c>
      <c r="V119" s="6"/>
      <c r="W119" s="7">
        <v>0</v>
      </c>
      <c r="X119" s="6"/>
      <c r="Y119" s="7">
        <v>6000.01</v>
      </c>
      <c r="Z119" s="6"/>
      <c r="AA119" s="7">
        <v>0</v>
      </c>
      <c r="AB119" s="6"/>
      <c r="AC119" s="7">
        <v>0</v>
      </c>
      <c r="AD119" s="6"/>
      <c r="AE119" s="7">
        <v>0</v>
      </c>
      <c r="AF119" s="6"/>
      <c r="AG119" s="7">
        <v>0</v>
      </c>
      <c r="AH119" s="6"/>
      <c r="AI119" s="7">
        <v>0</v>
      </c>
      <c r="AJ119" s="6"/>
      <c r="AK119" s="7">
        <v>0</v>
      </c>
      <c r="AL119" s="6"/>
      <c r="AM119" s="7">
        <v>0</v>
      </c>
      <c r="AN119" s="6"/>
      <c r="AO119" s="7">
        <v>0</v>
      </c>
      <c r="AP119" s="6"/>
      <c r="AQ119" s="7">
        <v>0</v>
      </c>
      <c r="AR119" s="6"/>
      <c r="AS119" s="7">
        <v>0</v>
      </c>
      <c r="AT119" s="6"/>
      <c r="AU119" s="7">
        <v>0</v>
      </c>
      <c r="AV119" s="6"/>
      <c r="AW119" s="7">
        <f>ROUND(SUM(G119:AU119),5)</f>
        <v>6000.01</v>
      </c>
    </row>
    <row r="120" spans="1:49">
      <c r="A120" s="4"/>
      <c r="B120" s="4"/>
      <c r="C120" s="4"/>
      <c r="D120" s="4"/>
      <c r="E120" s="4"/>
      <c r="F120" s="4" t="s">
        <v>239</v>
      </c>
      <c r="G120" s="7">
        <v>0</v>
      </c>
      <c r="H120" s="6"/>
      <c r="I120" s="7">
        <v>0</v>
      </c>
      <c r="J120" s="6"/>
      <c r="K120" s="7">
        <v>0</v>
      </c>
      <c r="L120" s="6"/>
      <c r="M120" s="7">
        <v>0</v>
      </c>
      <c r="N120" s="6"/>
      <c r="O120" s="7">
        <v>0</v>
      </c>
      <c r="P120" s="6"/>
      <c r="Q120" s="7">
        <v>0</v>
      </c>
      <c r="R120" s="6"/>
      <c r="S120" s="7">
        <v>0</v>
      </c>
      <c r="T120" s="6"/>
      <c r="U120" s="7">
        <v>0</v>
      </c>
      <c r="V120" s="6"/>
      <c r="W120" s="7">
        <v>0</v>
      </c>
      <c r="X120" s="6"/>
      <c r="Y120" s="7">
        <v>750</v>
      </c>
      <c r="Z120" s="6"/>
      <c r="AA120" s="7">
        <v>0</v>
      </c>
      <c r="AB120" s="6"/>
      <c r="AC120" s="7">
        <v>0</v>
      </c>
      <c r="AD120" s="6"/>
      <c r="AE120" s="7">
        <v>0</v>
      </c>
      <c r="AF120" s="6"/>
      <c r="AG120" s="7">
        <v>0</v>
      </c>
      <c r="AH120" s="6"/>
      <c r="AI120" s="7">
        <v>0</v>
      </c>
      <c r="AJ120" s="6"/>
      <c r="AK120" s="7">
        <v>0</v>
      </c>
      <c r="AL120" s="6"/>
      <c r="AM120" s="7">
        <v>0</v>
      </c>
      <c r="AN120" s="6"/>
      <c r="AO120" s="7">
        <v>0</v>
      </c>
      <c r="AP120" s="6"/>
      <c r="AQ120" s="7">
        <v>0</v>
      </c>
      <c r="AR120" s="6"/>
      <c r="AS120" s="7">
        <v>0</v>
      </c>
      <c r="AT120" s="6"/>
      <c r="AU120" s="7">
        <v>0</v>
      </c>
      <c r="AV120" s="6"/>
      <c r="AW120" s="7">
        <f>ROUND(SUM(G120:AU120),5)</f>
        <v>750</v>
      </c>
    </row>
    <row r="121" spans="1:49" ht="15.75" thickBot="1">
      <c r="A121" s="4"/>
      <c r="B121" s="4"/>
      <c r="C121" s="4"/>
      <c r="D121" s="4"/>
      <c r="E121" s="4"/>
      <c r="F121" s="4" t="s">
        <v>240</v>
      </c>
      <c r="G121" s="9">
        <v>0</v>
      </c>
      <c r="H121" s="6"/>
      <c r="I121" s="9">
        <v>0</v>
      </c>
      <c r="J121" s="6"/>
      <c r="K121" s="9">
        <v>0</v>
      </c>
      <c r="L121" s="6"/>
      <c r="M121" s="9">
        <v>0</v>
      </c>
      <c r="N121" s="6"/>
      <c r="O121" s="9">
        <v>0</v>
      </c>
      <c r="P121" s="6"/>
      <c r="Q121" s="9">
        <v>0</v>
      </c>
      <c r="R121" s="6"/>
      <c r="S121" s="9">
        <v>0</v>
      </c>
      <c r="T121" s="6"/>
      <c r="U121" s="9">
        <v>0</v>
      </c>
      <c r="V121" s="6"/>
      <c r="W121" s="9">
        <v>0</v>
      </c>
      <c r="X121" s="6"/>
      <c r="Y121" s="9">
        <v>195.6</v>
      </c>
      <c r="Z121" s="6"/>
      <c r="AA121" s="9">
        <v>0</v>
      </c>
      <c r="AB121" s="6"/>
      <c r="AC121" s="9">
        <v>0</v>
      </c>
      <c r="AD121" s="6"/>
      <c r="AE121" s="9">
        <v>0</v>
      </c>
      <c r="AF121" s="6"/>
      <c r="AG121" s="9">
        <v>0</v>
      </c>
      <c r="AH121" s="6"/>
      <c r="AI121" s="9">
        <v>0</v>
      </c>
      <c r="AJ121" s="6"/>
      <c r="AK121" s="9">
        <v>0</v>
      </c>
      <c r="AL121" s="6"/>
      <c r="AM121" s="9">
        <v>0</v>
      </c>
      <c r="AN121" s="6"/>
      <c r="AO121" s="9">
        <v>0</v>
      </c>
      <c r="AP121" s="6"/>
      <c r="AQ121" s="9">
        <v>0</v>
      </c>
      <c r="AR121" s="6"/>
      <c r="AS121" s="9">
        <v>0</v>
      </c>
      <c r="AT121" s="6"/>
      <c r="AU121" s="9">
        <v>0</v>
      </c>
      <c r="AV121" s="6"/>
      <c r="AW121" s="9">
        <f>ROUND(SUM(G121:AU121),5)</f>
        <v>195.6</v>
      </c>
    </row>
    <row r="122" spans="1:49">
      <c r="A122" s="4"/>
      <c r="B122" s="4"/>
      <c r="C122" s="4"/>
      <c r="D122" s="4"/>
      <c r="E122" s="4" t="s">
        <v>241</v>
      </c>
      <c r="F122" s="4"/>
      <c r="G122" s="7">
        <f>ROUND(SUM(G118:G121),5)</f>
        <v>0</v>
      </c>
      <c r="H122" s="6"/>
      <c r="I122" s="7">
        <f>ROUND(SUM(I118:I121),5)</f>
        <v>0</v>
      </c>
      <c r="J122" s="6"/>
      <c r="K122" s="7">
        <f>ROUND(SUM(K118:K121),5)</f>
        <v>0</v>
      </c>
      <c r="L122" s="6"/>
      <c r="M122" s="7">
        <f>ROUND(SUM(M118:M121),5)</f>
        <v>0</v>
      </c>
      <c r="N122" s="6"/>
      <c r="O122" s="7">
        <f>ROUND(SUM(O118:O121),5)</f>
        <v>0</v>
      </c>
      <c r="P122" s="6"/>
      <c r="Q122" s="7">
        <f>ROUND(SUM(Q118:Q121),5)</f>
        <v>0</v>
      </c>
      <c r="R122" s="6"/>
      <c r="S122" s="7">
        <f>ROUND(SUM(S118:S121),5)</f>
        <v>0</v>
      </c>
      <c r="T122" s="6"/>
      <c r="U122" s="7">
        <f>ROUND(SUM(U118:U121),5)</f>
        <v>0</v>
      </c>
      <c r="V122" s="6"/>
      <c r="W122" s="7">
        <f>ROUND(SUM(W118:W121),5)</f>
        <v>0</v>
      </c>
      <c r="X122" s="6"/>
      <c r="Y122" s="7">
        <f>ROUND(SUM(Y118:Y121),5)</f>
        <v>6945.61</v>
      </c>
      <c r="Z122" s="6"/>
      <c r="AA122" s="7">
        <f>ROUND(SUM(AA118:AA121),5)</f>
        <v>0</v>
      </c>
      <c r="AB122" s="6"/>
      <c r="AC122" s="7">
        <f>ROUND(SUM(AC118:AC121),5)</f>
        <v>0</v>
      </c>
      <c r="AD122" s="6"/>
      <c r="AE122" s="7">
        <f>ROUND(SUM(AE118:AE121),5)</f>
        <v>0</v>
      </c>
      <c r="AF122" s="6"/>
      <c r="AG122" s="7">
        <f>ROUND(SUM(AG118:AG121),5)</f>
        <v>0</v>
      </c>
      <c r="AH122" s="6"/>
      <c r="AI122" s="7">
        <f>ROUND(SUM(AI118:AI121),5)</f>
        <v>0</v>
      </c>
      <c r="AJ122" s="6"/>
      <c r="AK122" s="7">
        <f>ROUND(SUM(AK118:AK121),5)</f>
        <v>0</v>
      </c>
      <c r="AL122" s="6"/>
      <c r="AM122" s="7">
        <f>ROUND(SUM(AM118:AM121),5)</f>
        <v>0</v>
      </c>
      <c r="AN122" s="6"/>
      <c r="AO122" s="7">
        <f>ROUND(SUM(AO118:AO121),5)</f>
        <v>0</v>
      </c>
      <c r="AP122" s="6"/>
      <c r="AQ122" s="7">
        <f>ROUND(SUM(AQ118:AQ121),5)</f>
        <v>0</v>
      </c>
      <c r="AR122" s="6"/>
      <c r="AS122" s="7">
        <f>ROUND(SUM(AS118:AS121),5)</f>
        <v>0</v>
      </c>
      <c r="AT122" s="6"/>
      <c r="AU122" s="7">
        <f>ROUND(SUM(AU118:AU121),5)</f>
        <v>0</v>
      </c>
      <c r="AV122" s="6"/>
      <c r="AW122" s="7">
        <f>ROUND(SUM(G122:AU122),5)</f>
        <v>6945.61</v>
      </c>
    </row>
    <row r="123" spans="1:49">
      <c r="A123" s="4"/>
      <c r="B123" s="4"/>
      <c r="C123" s="4"/>
      <c r="D123" s="4"/>
      <c r="E123" s="4" t="s">
        <v>242</v>
      </c>
      <c r="F123" s="4"/>
      <c r="G123" s="7"/>
      <c r="H123" s="6"/>
      <c r="I123" s="7"/>
      <c r="J123" s="6"/>
      <c r="K123" s="7"/>
      <c r="L123" s="6"/>
      <c r="M123" s="7"/>
      <c r="N123" s="6"/>
      <c r="O123" s="7"/>
      <c r="P123" s="6"/>
      <c r="Q123" s="7"/>
      <c r="R123" s="6"/>
      <c r="S123" s="7"/>
      <c r="T123" s="6"/>
      <c r="U123" s="7"/>
      <c r="V123" s="6"/>
      <c r="W123" s="7"/>
      <c r="X123" s="6"/>
      <c r="Y123" s="7"/>
      <c r="Z123" s="6"/>
      <c r="AA123" s="7"/>
      <c r="AB123" s="6"/>
      <c r="AC123" s="7"/>
      <c r="AD123" s="6"/>
      <c r="AE123" s="7"/>
      <c r="AF123" s="6"/>
      <c r="AG123" s="7"/>
      <c r="AH123" s="6"/>
      <c r="AI123" s="7"/>
      <c r="AJ123" s="6"/>
      <c r="AK123" s="7"/>
      <c r="AL123" s="6"/>
      <c r="AM123" s="7"/>
      <c r="AN123" s="6"/>
      <c r="AO123" s="7"/>
      <c r="AP123" s="6"/>
      <c r="AQ123" s="7"/>
      <c r="AR123" s="6"/>
      <c r="AS123" s="7"/>
      <c r="AT123" s="6"/>
      <c r="AU123" s="7"/>
      <c r="AV123" s="6"/>
      <c r="AW123" s="7"/>
    </row>
    <row r="124" spans="1:49">
      <c r="A124" s="4"/>
      <c r="B124" s="4"/>
      <c r="C124" s="4"/>
      <c r="D124" s="4"/>
      <c r="E124" s="4"/>
      <c r="F124" s="4" t="s">
        <v>243</v>
      </c>
      <c r="G124" s="7">
        <v>0</v>
      </c>
      <c r="H124" s="6"/>
      <c r="I124" s="7">
        <v>0</v>
      </c>
      <c r="J124" s="6"/>
      <c r="K124" s="7">
        <v>0</v>
      </c>
      <c r="L124" s="6"/>
      <c r="M124" s="7">
        <v>0</v>
      </c>
      <c r="N124" s="6"/>
      <c r="O124" s="7">
        <v>0</v>
      </c>
      <c r="P124" s="6"/>
      <c r="Q124" s="7">
        <v>0</v>
      </c>
      <c r="R124" s="6"/>
      <c r="S124" s="7">
        <v>0</v>
      </c>
      <c r="T124" s="6"/>
      <c r="U124" s="7">
        <v>0</v>
      </c>
      <c r="V124" s="6"/>
      <c r="W124" s="7">
        <v>0</v>
      </c>
      <c r="X124" s="6"/>
      <c r="Y124" s="7">
        <v>7519.73</v>
      </c>
      <c r="Z124" s="6"/>
      <c r="AA124" s="7">
        <v>2000</v>
      </c>
      <c r="AB124" s="6"/>
      <c r="AC124" s="7">
        <v>0</v>
      </c>
      <c r="AD124" s="6"/>
      <c r="AE124" s="7">
        <v>0</v>
      </c>
      <c r="AF124" s="6"/>
      <c r="AG124" s="7">
        <v>0</v>
      </c>
      <c r="AH124" s="6"/>
      <c r="AI124" s="7">
        <v>0</v>
      </c>
      <c r="AJ124" s="6"/>
      <c r="AK124" s="7">
        <v>0</v>
      </c>
      <c r="AL124" s="6"/>
      <c r="AM124" s="7">
        <v>0</v>
      </c>
      <c r="AN124" s="6"/>
      <c r="AO124" s="7">
        <v>0</v>
      </c>
      <c r="AP124" s="6"/>
      <c r="AQ124" s="7">
        <v>0</v>
      </c>
      <c r="AR124" s="6"/>
      <c r="AS124" s="7">
        <v>0</v>
      </c>
      <c r="AT124" s="6"/>
      <c r="AU124" s="7">
        <v>0</v>
      </c>
      <c r="AV124" s="6"/>
      <c r="AW124" s="7">
        <f>ROUND(SUM(G124:AU124),5)</f>
        <v>9519.73</v>
      </c>
    </row>
    <row r="125" spans="1:49">
      <c r="A125" s="4"/>
      <c r="B125" s="4"/>
      <c r="C125" s="4"/>
      <c r="D125" s="4"/>
      <c r="E125" s="4"/>
      <c r="F125" s="4" t="s">
        <v>244</v>
      </c>
      <c r="G125" s="7">
        <v>0</v>
      </c>
      <c r="H125" s="6"/>
      <c r="I125" s="7">
        <v>0</v>
      </c>
      <c r="J125" s="6"/>
      <c r="K125" s="7">
        <v>0</v>
      </c>
      <c r="L125" s="6"/>
      <c r="M125" s="7">
        <v>0</v>
      </c>
      <c r="N125" s="6"/>
      <c r="O125" s="7">
        <v>0</v>
      </c>
      <c r="P125" s="6"/>
      <c r="Q125" s="7">
        <v>0</v>
      </c>
      <c r="R125" s="6"/>
      <c r="S125" s="7">
        <v>0</v>
      </c>
      <c r="T125" s="6"/>
      <c r="U125" s="7">
        <v>0</v>
      </c>
      <c r="V125" s="6"/>
      <c r="W125" s="7">
        <v>0</v>
      </c>
      <c r="X125" s="6"/>
      <c r="Y125" s="7">
        <v>558.54999999999995</v>
      </c>
      <c r="Z125" s="6"/>
      <c r="AA125" s="7">
        <v>153</v>
      </c>
      <c r="AB125" s="6"/>
      <c r="AC125" s="7">
        <v>0</v>
      </c>
      <c r="AD125" s="6"/>
      <c r="AE125" s="7">
        <v>0</v>
      </c>
      <c r="AF125" s="6"/>
      <c r="AG125" s="7">
        <v>0</v>
      </c>
      <c r="AH125" s="6"/>
      <c r="AI125" s="7">
        <v>0</v>
      </c>
      <c r="AJ125" s="6"/>
      <c r="AK125" s="7">
        <v>0</v>
      </c>
      <c r="AL125" s="6"/>
      <c r="AM125" s="7">
        <v>0</v>
      </c>
      <c r="AN125" s="6"/>
      <c r="AO125" s="7">
        <v>0</v>
      </c>
      <c r="AP125" s="6"/>
      <c r="AQ125" s="7">
        <v>0</v>
      </c>
      <c r="AR125" s="6"/>
      <c r="AS125" s="7">
        <v>0</v>
      </c>
      <c r="AT125" s="6"/>
      <c r="AU125" s="7">
        <v>0</v>
      </c>
      <c r="AV125" s="6"/>
      <c r="AW125" s="7">
        <f>ROUND(SUM(G125:AU125),5)</f>
        <v>711.55</v>
      </c>
    </row>
    <row r="126" spans="1:49">
      <c r="A126" s="4"/>
      <c r="B126" s="4"/>
      <c r="C126" s="4"/>
      <c r="D126" s="4"/>
      <c r="E126" s="4"/>
      <c r="F126" s="4" t="s">
        <v>245</v>
      </c>
      <c r="G126" s="7">
        <v>0</v>
      </c>
      <c r="H126" s="6"/>
      <c r="I126" s="7">
        <v>0</v>
      </c>
      <c r="J126" s="6"/>
      <c r="K126" s="7">
        <v>0</v>
      </c>
      <c r="L126" s="6"/>
      <c r="M126" s="7">
        <v>0</v>
      </c>
      <c r="N126" s="6"/>
      <c r="O126" s="7">
        <v>0</v>
      </c>
      <c r="P126" s="6"/>
      <c r="Q126" s="7">
        <v>0</v>
      </c>
      <c r="R126" s="6"/>
      <c r="S126" s="7">
        <v>0</v>
      </c>
      <c r="T126" s="6"/>
      <c r="U126" s="7">
        <v>0</v>
      </c>
      <c r="V126" s="6"/>
      <c r="W126" s="7">
        <v>0</v>
      </c>
      <c r="X126" s="6"/>
      <c r="Y126" s="7">
        <v>-218.42</v>
      </c>
      <c r="Z126" s="6"/>
      <c r="AA126" s="7">
        <v>0</v>
      </c>
      <c r="AB126" s="6"/>
      <c r="AC126" s="7">
        <v>0</v>
      </c>
      <c r="AD126" s="6"/>
      <c r="AE126" s="7">
        <v>0</v>
      </c>
      <c r="AF126" s="6"/>
      <c r="AG126" s="7">
        <v>0</v>
      </c>
      <c r="AH126" s="6"/>
      <c r="AI126" s="7">
        <v>0</v>
      </c>
      <c r="AJ126" s="6"/>
      <c r="AK126" s="7">
        <v>0</v>
      </c>
      <c r="AL126" s="6"/>
      <c r="AM126" s="7">
        <v>0</v>
      </c>
      <c r="AN126" s="6"/>
      <c r="AO126" s="7">
        <v>0</v>
      </c>
      <c r="AP126" s="6"/>
      <c r="AQ126" s="7">
        <v>0</v>
      </c>
      <c r="AR126" s="6"/>
      <c r="AS126" s="7">
        <v>0</v>
      </c>
      <c r="AT126" s="6"/>
      <c r="AU126" s="7">
        <v>0</v>
      </c>
      <c r="AV126" s="6"/>
      <c r="AW126" s="7">
        <f>ROUND(SUM(G126:AU126),5)</f>
        <v>-218.42</v>
      </c>
    </row>
    <row r="127" spans="1:49">
      <c r="A127" s="4"/>
      <c r="B127" s="4"/>
      <c r="C127" s="4"/>
      <c r="D127" s="4"/>
      <c r="E127" s="4"/>
      <c r="F127" s="4" t="s">
        <v>246</v>
      </c>
      <c r="G127" s="7">
        <v>0</v>
      </c>
      <c r="H127" s="6"/>
      <c r="I127" s="7">
        <v>0</v>
      </c>
      <c r="J127" s="6"/>
      <c r="K127" s="7">
        <v>0</v>
      </c>
      <c r="L127" s="6"/>
      <c r="M127" s="7">
        <v>0</v>
      </c>
      <c r="N127" s="6"/>
      <c r="O127" s="7">
        <v>0</v>
      </c>
      <c r="P127" s="6"/>
      <c r="Q127" s="7">
        <v>0</v>
      </c>
      <c r="R127" s="6"/>
      <c r="S127" s="7">
        <v>0</v>
      </c>
      <c r="T127" s="6"/>
      <c r="U127" s="7">
        <v>0</v>
      </c>
      <c r="V127" s="6"/>
      <c r="W127" s="7">
        <v>0</v>
      </c>
      <c r="X127" s="6"/>
      <c r="Y127" s="7">
        <v>12258.63</v>
      </c>
      <c r="Z127" s="6"/>
      <c r="AA127" s="7">
        <v>0</v>
      </c>
      <c r="AB127" s="6"/>
      <c r="AC127" s="7">
        <v>0</v>
      </c>
      <c r="AD127" s="6"/>
      <c r="AE127" s="7">
        <v>0</v>
      </c>
      <c r="AF127" s="6"/>
      <c r="AG127" s="7">
        <v>0</v>
      </c>
      <c r="AH127" s="6"/>
      <c r="AI127" s="7">
        <v>0</v>
      </c>
      <c r="AJ127" s="6"/>
      <c r="AK127" s="7">
        <v>0</v>
      </c>
      <c r="AL127" s="6"/>
      <c r="AM127" s="7">
        <v>0</v>
      </c>
      <c r="AN127" s="6"/>
      <c r="AO127" s="7">
        <v>0</v>
      </c>
      <c r="AP127" s="6"/>
      <c r="AQ127" s="7">
        <v>0</v>
      </c>
      <c r="AR127" s="6"/>
      <c r="AS127" s="7">
        <v>0</v>
      </c>
      <c r="AT127" s="6"/>
      <c r="AU127" s="7">
        <v>0</v>
      </c>
      <c r="AV127" s="6"/>
      <c r="AW127" s="7">
        <f>ROUND(SUM(G127:AU127),5)</f>
        <v>12258.63</v>
      </c>
    </row>
    <row r="128" spans="1:49">
      <c r="A128" s="4"/>
      <c r="B128" s="4"/>
      <c r="C128" s="4"/>
      <c r="D128" s="4"/>
      <c r="E128" s="4"/>
      <c r="F128" s="4" t="s">
        <v>247</v>
      </c>
      <c r="G128" s="7">
        <v>0</v>
      </c>
      <c r="H128" s="6"/>
      <c r="I128" s="7">
        <v>0</v>
      </c>
      <c r="J128" s="6"/>
      <c r="K128" s="7">
        <v>0</v>
      </c>
      <c r="L128" s="6"/>
      <c r="M128" s="7">
        <v>0</v>
      </c>
      <c r="N128" s="6"/>
      <c r="O128" s="7">
        <v>0</v>
      </c>
      <c r="P128" s="6"/>
      <c r="Q128" s="7">
        <v>0</v>
      </c>
      <c r="R128" s="6"/>
      <c r="S128" s="7">
        <v>0</v>
      </c>
      <c r="T128" s="6"/>
      <c r="U128" s="7">
        <v>0</v>
      </c>
      <c r="V128" s="6"/>
      <c r="W128" s="7">
        <v>0</v>
      </c>
      <c r="X128" s="6"/>
      <c r="Y128" s="7">
        <v>4775.76</v>
      </c>
      <c r="Z128" s="6"/>
      <c r="AA128" s="7">
        <v>0</v>
      </c>
      <c r="AB128" s="6"/>
      <c r="AC128" s="7">
        <v>0</v>
      </c>
      <c r="AD128" s="6"/>
      <c r="AE128" s="7">
        <v>0</v>
      </c>
      <c r="AF128" s="6"/>
      <c r="AG128" s="7">
        <v>0</v>
      </c>
      <c r="AH128" s="6"/>
      <c r="AI128" s="7">
        <v>0</v>
      </c>
      <c r="AJ128" s="6"/>
      <c r="AK128" s="7">
        <v>0</v>
      </c>
      <c r="AL128" s="6"/>
      <c r="AM128" s="7">
        <v>0</v>
      </c>
      <c r="AN128" s="6"/>
      <c r="AO128" s="7">
        <v>0</v>
      </c>
      <c r="AP128" s="6"/>
      <c r="AQ128" s="7">
        <v>0</v>
      </c>
      <c r="AR128" s="6"/>
      <c r="AS128" s="7">
        <v>0</v>
      </c>
      <c r="AT128" s="6"/>
      <c r="AU128" s="7">
        <v>0</v>
      </c>
      <c r="AV128" s="6"/>
      <c r="AW128" s="7">
        <f>ROUND(SUM(G128:AU128),5)</f>
        <v>4775.76</v>
      </c>
    </row>
    <row r="129" spans="1:49">
      <c r="A129" s="4"/>
      <c r="B129" s="4"/>
      <c r="C129" s="4"/>
      <c r="D129" s="4"/>
      <c r="E129" s="4"/>
      <c r="F129" s="4" t="s">
        <v>248</v>
      </c>
      <c r="G129" s="7">
        <v>0</v>
      </c>
      <c r="H129" s="6"/>
      <c r="I129" s="7">
        <v>0</v>
      </c>
      <c r="J129" s="6"/>
      <c r="K129" s="7">
        <v>0</v>
      </c>
      <c r="L129" s="6"/>
      <c r="M129" s="7">
        <v>0</v>
      </c>
      <c r="N129" s="6"/>
      <c r="O129" s="7">
        <v>0</v>
      </c>
      <c r="P129" s="6"/>
      <c r="Q129" s="7">
        <v>0</v>
      </c>
      <c r="R129" s="6"/>
      <c r="S129" s="7">
        <v>0</v>
      </c>
      <c r="T129" s="6"/>
      <c r="U129" s="7">
        <v>0</v>
      </c>
      <c r="V129" s="6"/>
      <c r="W129" s="7">
        <v>0</v>
      </c>
      <c r="X129" s="6"/>
      <c r="Y129" s="7">
        <v>4795.22</v>
      </c>
      <c r="Z129" s="6"/>
      <c r="AA129" s="7">
        <v>0</v>
      </c>
      <c r="AB129" s="6"/>
      <c r="AC129" s="7">
        <v>0</v>
      </c>
      <c r="AD129" s="6"/>
      <c r="AE129" s="7">
        <v>0</v>
      </c>
      <c r="AF129" s="6"/>
      <c r="AG129" s="7">
        <v>0</v>
      </c>
      <c r="AH129" s="6"/>
      <c r="AI129" s="7">
        <v>0</v>
      </c>
      <c r="AJ129" s="6"/>
      <c r="AK129" s="7">
        <v>0</v>
      </c>
      <c r="AL129" s="6"/>
      <c r="AM129" s="7">
        <v>0</v>
      </c>
      <c r="AN129" s="6"/>
      <c r="AO129" s="7">
        <v>0</v>
      </c>
      <c r="AP129" s="6"/>
      <c r="AQ129" s="7">
        <v>0</v>
      </c>
      <c r="AR129" s="6"/>
      <c r="AS129" s="7">
        <v>0</v>
      </c>
      <c r="AT129" s="6"/>
      <c r="AU129" s="7">
        <v>0</v>
      </c>
      <c r="AV129" s="6"/>
      <c r="AW129" s="7">
        <f>ROUND(SUM(G129:AU129),5)</f>
        <v>4795.22</v>
      </c>
    </row>
    <row r="130" spans="1:49">
      <c r="A130" s="4"/>
      <c r="B130" s="4"/>
      <c r="C130" s="4"/>
      <c r="D130" s="4"/>
      <c r="E130" s="4"/>
      <c r="F130" s="4" t="s">
        <v>249</v>
      </c>
      <c r="G130" s="7">
        <v>0</v>
      </c>
      <c r="H130" s="6"/>
      <c r="I130" s="7">
        <v>0</v>
      </c>
      <c r="J130" s="6"/>
      <c r="K130" s="7">
        <v>0</v>
      </c>
      <c r="L130" s="6"/>
      <c r="M130" s="7">
        <v>0</v>
      </c>
      <c r="N130" s="6"/>
      <c r="O130" s="7">
        <v>0</v>
      </c>
      <c r="P130" s="6"/>
      <c r="Q130" s="7">
        <v>0</v>
      </c>
      <c r="R130" s="6"/>
      <c r="S130" s="7">
        <v>0</v>
      </c>
      <c r="T130" s="6"/>
      <c r="U130" s="7">
        <v>0</v>
      </c>
      <c r="V130" s="6"/>
      <c r="W130" s="7">
        <v>0</v>
      </c>
      <c r="X130" s="6"/>
      <c r="Y130" s="7">
        <v>9000</v>
      </c>
      <c r="Z130" s="6"/>
      <c r="AA130" s="7">
        <v>0</v>
      </c>
      <c r="AB130" s="6"/>
      <c r="AC130" s="7">
        <v>0</v>
      </c>
      <c r="AD130" s="6"/>
      <c r="AE130" s="7">
        <v>0</v>
      </c>
      <c r="AF130" s="6"/>
      <c r="AG130" s="7">
        <v>0</v>
      </c>
      <c r="AH130" s="6"/>
      <c r="AI130" s="7">
        <v>0</v>
      </c>
      <c r="AJ130" s="6"/>
      <c r="AK130" s="7">
        <v>0</v>
      </c>
      <c r="AL130" s="6"/>
      <c r="AM130" s="7">
        <v>0</v>
      </c>
      <c r="AN130" s="6"/>
      <c r="AO130" s="7">
        <v>0</v>
      </c>
      <c r="AP130" s="6"/>
      <c r="AQ130" s="7">
        <v>0</v>
      </c>
      <c r="AR130" s="6"/>
      <c r="AS130" s="7">
        <v>0</v>
      </c>
      <c r="AT130" s="6"/>
      <c r="AU130" s="7">
        <v>0</v>
      </c>
      <c r="AV130" s="6"/>
      <c r="AW130" s="7">
        <f>ROUND(SUM(G130:AU130),5)</f>
        <v>9000</v>
      </c>
    </row>
    <row r="131" spans="1:49">
      <c r="A131" s="4"/>
      <c r="B131" s="4"/>
      <c r="C131" s="4"/>
      <c r="D131" s="4"/>
      <c r="E131" s="4"/>
      <c r="F131" s="4" t="s">
        <v>251</v>
      </c>
      <c r="G131" s="7">
        <v>0</v>
      </c>
      <c r="H131" s="6"/>
      <c r="I131" s="7">
        <v>0</v>
      </c>
      <c r="J131" s="6"/>
      <c r="K131" s="7">
        <v>0</v>
      </c>
      <c r="L131" s="6"/>
      <c r="M131" s="7">
        <v>0</v>
      </c>
      <c r="N131" s="6"/>
      <c r="O131" s="7">
        <v>0</v>
      </c>
      <c r="P131" s="6"/>
      <c r="Q131" s="7">
        <v>0</v>
      </c>
      <c r="R131" s="6"/>
      <c r="S131" s="7">
        <v>0</v>
      </c>
      <c r="T131" s="6"/>
      <c r="U131" s="7">
        <v>0</v>
      </c>
      <c r="V131" s="6"/>
      <c r="W131" s="7">
        <v>0</v>
      </c>
      <c r="X131" s="6"/>
      <c r="Y131" s="7">
        <v>5776.12</v>
      </c>
      <c r="Z131" s="6"/>
      <c r="AA131" s="7">
        <v>0</v>
      </c>
      <c r="AB131" s="6"/>
      <c r="AC131" s="7">
        <v>0</v>
      </c>
      <c r="AD131" s="6"/>
      <c r="AE131" s="7">
        <v>0</v>
      </c>
      <c r="AF131" s="6"/>
      <c r="AG131" s="7">
        <v>0</v>
      </c>
      <c r="AH131" s="6"/>
      <c r="AI131" s="7">
        <v>0</v>
      </c>
      <c r="AJ131" s="6"/>
      <c r="AK131" s="7">
        <v>0</v>
      </c>
      <c r="AL131" s="6"/>
      <c r="AM131" s="7">
        <v>0</v>
      </c>
      <c r="AN131" s="6"/>
      <c r="AO131" s="7">
        <v>0</v>
      </c>
      <c r="AP131" s="6"/>
      <c r="AQ131" s="7">
        <v>0</v>
      </c>
      <c r="AR131" s="6"/>
      <c r="AS131" s="7">
        <v>0</v>
      </c>
      <c r="AT131" s="6"/>
      <c r="AU131" s="7">
        <v>0</v>
      </c>
      <c r="AV131" s="6"/>
      <c r="AW131" s="7">
        <f>ROUND(SUM(G131:AU131),5)</f>
        <v>5776.12</v>
      </c>
    </row>
    <row r="132" spans="1:49">
      <c r="A132" s="4"/>
      <c r="B132" s="4"/>
      <c r="C132" s="4"/>
      <c r="D132" s="4"/>
      <c r="E132" s="4"/>
      <c r="F132" s="4" t="s">
        <v>252</v>
      </c>
      <c r="G132" s="7">
        <v>0</v>
      </c>
      <c r="H132" s="6"/>
      <c r="I132" s="7">
        <v>0</v>
      </c>
      <c r="J132" s="6"/>
      <c r="K132" s="7">
        <v>0</v>
      </c>
      <c r="L132" s="6"/>
      <c r="M132" s="7">
        <v>0</v>
      </c>
      <c r="N132" s="6"/>
      <c r="O132" s="7">
        <v>0</v>
      </c>
      <c r="P132" s="6"/>
      <c r="Q132" s="7">
        <v>0</v>
      </c>
      <c r="R132" s="6"/>
      <c r="S132" s="7">
        <v>0</v>
      </c>
      <c r="T132" s="6"/>
      <c r="U132" s="7">
        <v>0</v>
      </c>
      <c r="V132" s="6"/>
      <c r="W132" s="7">
        <v>0</v>
      </c>
      <c r="X132" s="6"/>
      <c r="Y132" s="7">
        <v>17711.759999999998</v>
      </c>
      <c r="Z132" s="6"/>
      <c r="AA132" s="7">
        <v>0</v>
      </c>
      <c r="AB132" s="6"/>
      <c r="AC132" s="7">
        <v>0</v>
      </c>
      <c r="AD132" s="6"/>
      <c r="AE132" s="7">
        <v>0</v>
      </c>
      <c r="AF132" s="6"/>
      <c r="AG132" s="7">
        <v>0</v>
      </c>
      <c r="AH132" s="6"/>
      <c r="AI132" s="7">
        <v>0</v>
      </c>
      <c r="AJ132" s="6"/>
      <c r="AK132" s="7">
        <v>34848.089999999997</v>
      </c>
      <c r="AL132" s="6"/>
      <c r="AM132" s="7">
        <v>0</v>
      </c>
      <c r="AN132" s="6"/>
      <c r="AO132" s="7">
        <v>0</v>
      </c>
      <c r="AP132" s="6"/>
      <c r="AQ132" s="7">
        <v>0</v>
      </c>
      <c r="AR132" s="6"/>
      <c r="AS132" s="7">
        <v>0</v>
      </c>
      <c r="AT132" s="6"/>
      <c r="AU132" s="7">
        <v>0</v>
      </c>
      <c r="AV132" s="6"/>
      <c r="AW132" s="7">
        <f>ROUND(SUM(G132:AU132),5)</f>
        <v>52559.85</v>
      </c>
    </row>
    <row r="133" spans="1:49">
      <c r="A133" s="4"/>
      <c r="B133" s="4"/>
      <c r="C133" s="4"/>
      <c r="D133" s="4"/>
      <c r="E133" s="4"/>
      <c r="F133" s="4" t="s">
        <v>254</v>
      </c>
      <c r="G133" s="7">
        <v>0</v>
      </c>
      <c r="H133" s="6"/>
      <c r="I133" s="7">
        <v>0</v>
      </c>
      <c r="J133" s="6"/>
      <c r="K133" s="7">
        <v>0</v>
      </c>
      <c r="L133" s="6"/>
      <c r="M133" s="7">
        <v>0</v>
      </c>
      <c r="N133" s="6"/>
      <c r="O133" s="7">
        <v>0</v>
      </c>
      <c r="P133" s="6"/>
      <c r="Q133" s="7">
        <v>0</v>
      </c>
      <c r="R133" s="6"/>
      <c r="S133" s="7">
        <v>0</v>
      </c>
      <c r="T133" s="6"/>
      <c r="U133" s="7">
        <v>0</v>
      </c>
      <c r="V133" s="6"/>
      <c r="W133" s="7">
        <v>0</v>
      </c>
      <c r="X133" s="6"/>
      <c r="Y133" s="7">
        <v>3400.17</v>
      </c>
      <c r="Z133" s="6"/>
      <c r="AA133" s="7">
        <v>0</v>
      </c>
      <c r="AB133" s="6"/>
      <c r="AC133" s="7">
        <v>0</v>
      </c>
      <c r="AD133" s="6"/>
      <c r="AE133" s="7">
        <v>0</v>
      </c>
      <c r="AF133" s="6"/>
      <c r="AG133" s="7">
        <v>0</v>
      </c>
      <c r="AH133" s="6"/>
      <c r="AI133" s="7">
        <v>0</v>
      </c>
      <c r="AJ133" s="6"/>
      <c r="AK133" s="7">
        <v>0</v>
      </c>
      <c r="AL133" s="6"/>
      <c r="AM133" s="7">
        <v>0</v>
      </c>
      <c r="AN133" s="6"/>
      <c r="AO133" s="7">
        <v>0</v>
      </c>
      <c r="AP133" s="6"/>
      <c r="AQ133" s="7">
        <v>0</v>
      </c>
      <c r="AR133" s="6"/>
      <c r="AS133" s="7">
        <v>0</v>
      </c>
      <c r="AT133" s="6"/>
      <c r="AU133" s="7">
        <v>0</v>
      </c>
      <c r="AV133" s="6"/>
      <c r="AW133" s="7">
        <f>ROUND(SUM(G133:AU133),5)</f>
        <v>3400.17</v>
      </c>
    </row>
    <row r="134" spans="1:49">
      <c r="A134" s="4"/>
      <c r="B134" s="4"/>
      <c r="C134" s="4"/>
      <c r="D134" s="4"/>
      <c r="E134" s="4"/>
      <c r="F134" s="4" t="s">
        <v>255</v>
      </c>
      <c r="G134" s="7">
        <v>0</v>
      </c>
      <c r="H134" s="6"/>
      <c r="I134" s="7">
        <v>0</v>
      </c>
      <c r="J134" s="6"/>
      <c r="K134" s="7">
        <v>0</v>
      </c>
      <c r="L134" s="6"/>
      <c r="M134" s="7">
        <v>0</v>
      </c>
      <c r="N134" s="6"/>
      <c r="O134" s="7">
        <v>0</v>
      </c>
      <c r="P134" s="6"/>
      <c r="Q134" s="7">
        <v>0</v>
      </c>
      <c r="R134" s="6"/>
      <c r="S134" s="7">
        <v>0</v>
      </c>
      <c r="T134" s="6"/>
      <c r="U134" s="7">
        <v>0</v>
      </c>
      <c r="V134" s="6"/>
      <c r="W134" s="7">
        <v>0</v>
      </c>
      <c r="X134" s="6"/>
      <c r="Y134" s="7">
        <v>13871.19</v>
      </c>
      <c r="Z134" s="6"/>
      <c r="AA134" s="7">
        <v>0</v>
      </c>
      <c r="AB134" s="6"/>
      <c r="AC134" s="7">
        <v>0</v>
      </c>
      <c r="AD134" s="6"/>
      <c r="AE134" s="7">
        <v>0</v>
      </c>
      <c r="AF134" s="6"/>
      <c r="AG134" s="7">
        <v>0</v>
      </c>
      <c r="AH134" s="6"/>
      <c r="AI134" s="7">
        <v>0</v>
      </c>
      <c r="AJ134" s="6"/>
      <c r="AK134" s="7">
        <v>0</v>
      </c>
      <c r="AL134" s="6"/>
      <c r="AM134" s="7">
        <v>0</v>
      </c>
      <c r="AN134" s="6"/>
      <c r="AO134" s="7">
        <v>0</v>
      </c>
      <c r="AP134" s="6"/>
      <c r="AQ134" s="7">
        <v>0</v>
      </c>
      <c r="AR134" s="6"/>
      <c r="AS134" s="7">
        <v>0</v>
      </c>
      <c r="AT134" s="6"/>
      <c r="AU134" s="7">
        <v>0</v>
      </c>
      <c r="AV134" s="6"/>
      <c r="AW134" s="7">
        <f>ROUND(SUM(G134:AU134),5)</f>
        <v>13871.19</v>
      </c>
    </row>
    <row r="135" spans="1:49" ht="15.75" thickBot="1">
      <c r="A135" s="4"/>
      <c r="B135" s="4"/>
      <c r="C135" s="4"/>
      <c r="D135" s="4"/>
      <c r="E135" s="4"/>
      <c r="F135" s="4" t="s">
        <v>256</v>
      </c>
      <c r="G135" s="9">
        <v>0</v>
      </c>
      <c r="H135" s="6"/>
      <c r="I135" s="9">
        <v>0</v>
      </c>
      <c r="J135" s="6"/>
      <c r="K135" s="9">
        <v>0</v>
      </c>
      <c r="L135" s="6"/>
      <c r="M135" s="9">
        <v>0</v>
      </c>
      <c r="N135" s="6"/>
      <c r="O135" s="9">
        <v>0</v>
      </c>
      <c r="P135" s="6"/>
      <c r="Q135" s="9">
        <v>0</v>
      </c>
      <c r="R135" s="6"/>
      <c r="S135" s="9">
        <v>0</v>
      </c>
      <c r="T135" s="6"/>
      <c r="U135" s="9">
        <v>0</v>
      </c>
      <c r="V135" s="6"/>
      <c r="W135" s="9">
        <v>0</v>
      </c>
      <c r="X135" s="6"/>
      <c r="Y135" s="9">
        <v>2878.7</v>
      </c>
      <c r="Z135" s="6"/>
      <c r="AA135" s="9">
        <v>0</v>
      </c>
      <c r="AB135" s="6"/>
      <c r="AC135" s="9">
        <v>0</v>
      </c>
      <c r="AD135" s="6"/>
      <c r="AE135" s="9">
        <v>0</v>
      </c>
      <c r="AF135" s="6"/>
      <c r="AG135" s="9">
        <v>0</v>
      </c>
      <c r="AH135" s="6"/>
      <c r="AI135" s="9">
        <v>0</v>
      </c>
      <c r="AJ135" s="6"/>
      <c r="AK135" s="9">
        <v>0</v>
      </c>
      <c r="AL135" s="6"/>
      <c r="AM135" s="9">
        <v>0</v>
      </c>
      <c r="AN135" s="6"/>
      <c r="AO135" s="9">
        <v>0</v>
      </c>
      <c r="AP135" s="6"/>
      <c r="AQ135" s="9">
        <v>0</v>
      </c>
      <c r="AR135" s="6"/>
      <c r="AS135" s="9">
        <v>0</v>
      </c>
      <c r="AT135" s="6"/>
      <c r="AU135" s="9">
        <v>0</v>
      </c>
      <c r="AV135" s="6"/>
      <c r="AW135" s="9">
        <f>ROUND(SUM(G135:AU135),5)</f>
        <v>2878.7</v>
      </c>
    </row>
    <row r="136" spans="1:49">
      <c r="A136" s="4"/>
      <c r="B136" s="4"/>
      <c r="C136" s="4"/>
      <c r="D136" s="4"/>
      <c r="E136" s="4" t="s">
        <v>257</v>
      </c>
      <c r="F136" s="4"/>
      <c r="G136" s="7">
        <f>ROUND(SUM(G123:G135),5)</f>
        <v>0</v>
      </c>
      <c r="H136" s="6"/>
      <c r="I136" s="7">
        <f>ROUND(SUM(I123:I135),5)</f>
        <v>0</v>
      </c>
      <c r="J136" s="6"/>
      <c r="K136" s="7">
        <f>ROUND(SUM(K123:K135),5)</f>
        <v>0</v>
      </c>
      <c r="L136" s="6"/>
      <c r="M136" s="7">
        <f>ROUND(SUM(M123:M135),5)</f>
        <v>0</v>
      </c>
      <c r="N136" s="6"/>
      <c r="O136" s="7">
        <f>ROUND(SUM(O123:O135),5)</f>
        <v>0</v>
      </c>
      <c r="P136" s="6"/>
      <c r="Q136" s="7">
        <f>ROUND(SUM(Q123:Q135),5)</f>
        <v>0</v>
      </c>
      <c r="R136" s="6"/>
      <c r="S136" s="7">
        <f>ROUND(SUM(S123:S135),5)</f>
        <v>0</v>
      </c>
      <c r="T136" s="6"/>
      <c r="U136" s="7">
        <f>ROUND(SUM(U123:U135),5)</f>
        <v>0</v>
      </c>
      <c r="V136" s="6"/>
      <c r="W136" s="7">
        <f>ROUND(SUM(W123:W135),5)</f>
        <v>0</v>
      </c>
      <c r="X136" s="6"/>
      <c r="Y136" s="7">
        <f>ROUND(SUM(Y123:Y135),5)</f>
        <v>82327.41</v>
      </c>
      <c r="Z136" s="6"/>
      <c r="AA136" s="7">
        <f>ROUND(SUM(AA123:AA135),5)</f>
        <v>2153</v>
      </c>
      <c r="AB136" s="6"/>
      <c r="AC136" s="7">
        <f>ROUND(SUM(AC123:AC135),5)</f>
        <v>0</v>
      </c>
      <c r="AD136" s="6"/>
      <c r="AE136" s="7">
        <f>ROUND(SUM(AE123:AE135),5)</f>
        <v>0</v>
      </c>
      <c r="AF136" s="6"/>
      <c r="AG136" s="7">
        <f>ROUND(SUM(AG123:AG135),5)</f>
        <v>0</v>
      </c>
      <c r="AH136" s="6"/>
      <c r="AI136" s="7">
        <f>ROUND(SUM(AI123:AI135),5)</f>
        <v>0</v>
      </c>
      <c r="AJ136" s="6"/>
      <c r="AK136" s="7">
        <f>ROUND(SUM(AK123:AK135),5)</f>
        <v>34848.089999999997</v>
      </c>
      <c r="AL136" s="6"/>
      <c r="AM136" s="7">
        <f>ROUND(SUM(AM123:AM135),5)</f>
        <v>0</v>
      </c>
      <c r="AN136" s="6"/>
      <c r="AO136" s="7">
        <f>ROUND(SUM(AO123:AO135),5)</f>
        <v>0</v>
      </c>
      <c r="AP136" s="6"/>
      <c r="AQ136" s="7">
        <f>ROUND(SUM(AQ123:AQ135),5)</f>
        <v>0</v>
      </c>
      <c r="AR136" s="6"/>
      <c r="AS136" s="7">
        <f>ROUND(SUM(AS123:AS135),5)</f>
        <v>0</v>
      </c>
      <c r="AT136" s="6"/>
      <c r="AU136" s="7">
        <f>ROUND(SUM(AU123:AU135),5)</f>
        <v>0</v>
      </c>
      <c r="AV136" s="6"/>
      <c r="AW136" s="7">
        <f>ROUND(SUM(G136:AU136),5)</f>
        <v>119328.5</v>
      </c>
    </row>
    <row r="137" spans="1:49">
      <c r="A137" s="4"/>
      <c r="B137" s="4"/>
      <c r="C137" s="4"/>
      <c r="D137" s="4"/>
      <c r="E137" s="4" t="s">
        <v>258</v>
      </c>
      <c r="F137" s="4"/>
      <c r="G137" s="7"/>
      <c r="H137" s="6"/>
      <c r="I137" s="7"/>
      <c r="J137" s="6"/>
      <c r="K137" s="7"/>
      <c r="L137" s="6"/>
      <c r="M137" s="7"/>
      <c r="N137" s="6"/>
      <c r="O137" s="7"/>
      <c r="P137" s="6"/>
      <c r="Q137" s="7"/>
      <c r="R137" s="6"/>
      <c r="S137" s="7"/>
      <c r="T137" s="6"/>
      <c r="U137" s="7"/>
      <c r="V137" s="6"/>
      <c r="W137" s="7"/>
      <c r="X137" s="6"/>
      <c r="Y137" s="7"/>
      <c r="Z137" s="6"/>
      <c r="AA137" s="7"/>
      <c r="AB137" s="6"/>
      <c r="AC137" s="7"/>
      <c r="AD137" s="6"/>
      <c r="AE137" s="7"/>
      <c r="AF137" s="6"/>
      <c r="AG137" s="7"/>
      <c r="AH137" s="6"/>
      <c r="AI137" s="7"/>
      <c r="AJ137" s="6"/>
      <c r="AK137" s="7"/>
      <c r="AL137" s="6"/>
      <c r="AM137" s="7"/>
      <c r="AN137" s="6"/>
      <c r="AO137" s="7"/>
      <c r="AP137" s="6"/>
      <c r="AQ137" s="7"/>
      <c r="AR137" s="6"/>
      <c r="AS137" s="7"/>
      <c r="AT137" s="6"/>
      <c r="AU137" s="7"/>
      <c r="AV137" s="6"/>
      <c r="AW137" s="7"/>
    </row>
    <row r="138" spans="1:49" ht="15.75" thickBot="1">
      <c r="A138" s="4"/>
      <c r="B138" s="4"/>
      <c r="C138" s="4"/>
      <c r="D138" s="4"/>
      <c r="E138" s="4"/>
      <c r="F138" s="4" t="s">
        <v>259</v>
      </c>
      <c r="G138" s="9">
        <v>0</v>
      </c>
      <c r="H138" s="6"/>
      <c r="I138" s="9">
        <v>0</v>
      </c>
      <c r="J138" s="6"/>
      <c r="K138" s="9">
        <v>0</v>
      </c>
      <c r="L138" s="6"/>
      <c r="M138" s="9">
        <v>0</v>
      </c>
      <c r="N138" s="6"/>
      <c r="O138" s="9">
        <v>0</v>
      </c>
      <c r="P138" s="6"/>
      <c r="Q138" s="9">
        <v>0</v>
      </c>
      <c r="R138" s="6"/>
      <c r="S138" s="9">
        <v>0</v>
      </c>
      <c r="T138" s="6"/>
      <c r="U138" s="9">
        <v>0</v>
      </c>
      <c r="V138" s="6"/>
      <c r="W138" s="9">
        <v>0</v>
      </c>
      <c r="X138" s="6"/>
      <c r="Y138" s="9">
        <v>2400</v>
      </c>
      <c r="Z138" s="6"/>
      <c r="AA138" s="9">
        <v>0</v>
      </c>
      <c r="AB138" s="6"/>
      <c r="AC138" s="9">
        <v>0</v>
      </c>
      <c r="AD138" s="6"/>
      <c r="AE138" s="9">
        <v>0</v>
      </c>
      <c r="AF138" s="6"/>
      <c r="AG138" s="9">
        <v>0</v>
      </c>
      <c r="AH138" s="6"/>
      <c r="AI138" s="9">
        <v>0</v>
      </c>
      <c r="AJ138" s="6"/>
      <c r="AK138" s="9">
        <v>0</v>
      </c>
      <c r="AL138" s="6"/>
      <c r="AM138" s="9">
        <v>0</v>
      </c>
      <c r="AN138" s="6"/>
      <c r="AO138" s="9">
        <v>0</v>
      </c>
      <c r="AP138" s="6"/>
      <c r="AQ138" s="9">
        <v>0</v>
      </c>
      <c r="AR138" s="6"/>
      <c r="AS138" s="9">
        <v>0</v>
      </c>
      <c r="AT138" s="6"/>
      <c r="AU138" s="9">
        <v>0</v>
      </c>
      <c r="AV138" s="6"/>
      <c r="AW138" s="9">
        <f>ROUND(SUM(G138:AU138),5)</f>
        <v>2400</v>
      </c>
    </row>
    <row r="139" spans="1:49">
      <c r="A139" s="4"/>
      <c r="B139" s="4"/>
      <c r="C139" s="4"/>
      <c r="D139" s="4"/>
      <c r="E139" s="4" t="s">
        <v>260</v>
      </c>
      <c r="F139" s="4"/>
      <c r="G139" s="7">
        <f>ROUND(SUM(G137:G138),5)</f>
        <v>0</v>
      </c>
      <c r="H139" s="6"/>
      <c r="I139" s="7">
        <f>ROUND(SUM(I137:I138),5)</f>
        <v>0</v>
      </c>
      <c r="J139" s="6"/>
      <c r="K139" s="7">
        <f>ROUND(SUM(K137:K138),5)</f>
        <v>0</v>
      </c>
      <c r="L139" s="6"/>
      <c r="M139" s="7">
        <f>ROUND(SUM(M137:M138),5)</f>
        <v>0</v>
      </c>
      <c r="N139" s="6"/>
      <c r="O139" s="7">
        <f>ROUND(SUM(O137:O138),5)</f>
        <v>0</v>
      </c>
      <c r="P139" s="6"/>
      <c r="Q139" s="7">
        <f>ROUND(SUM(Q137:Q138),5)</f>
        <v>0</v>
      </c>
      <c r="R139" s="6"/>
      <c r="S139" s="7">
        <f>ROUND(SUM(S137:S138),5)</f>
        <v>0</v>
      </c>
      <c r="T139" s="6"/>
      <c r="U139" s="7">
        <f>ROUND(SUM(U137:U138),5)</f>
        <v>0</v>
      </c>
      <c r="V139" s="6"/>
      <c r="W139" s="7">
        <f>ROUND(SUM(W137:W138),5)</f>
        <v>0</v>
      </c>
      <c r="X139" s="6"/>
      <c r="Y139" s="7">
        <f>ROUND(SUM(Y137:Y138),5)</f>
        <v>2400</v>
      </c>
      <c r="Z139" s="6"/>
      <c r="AA139" s="7">
        <f>ROUND(SUM(AA137:AA138),5)</f>
        <v>0</v>
      </c>
      <c r="AB139" s="6"/>
      <c r="AC139" s="7">
        <f>ROUND(SUM(AC137:AC138),5)</f>
        <v>0</v>
      </c>
      <c r="AD139" s="6"/>
      <c r="AE139" s="7">
        <f>ROUND(SUM(AE137:AE138),5)</f>
        <v>0</v>
      </c>
      <c r="AF139" s="6"/>
      <c r="AG139" s="7">
        <f>ROUND(SUM(AG137:AG138),5)</f>
        <v>0</v>
      </c>
      <c r="AH139" s="6"/>
      <c r="AI139" s="7">
        <f>ROUND(SUM(AI137:AI138),5)</f>
        <v>0</v>
      </c>
      <c r="AJ139" s="6"/>
      <c r="AK139" s="7">
        <f>ROUND(SUM(AK137:AK138),5)</f>
        <v>0</v>
      </c>
      <c r="AL139" s="6"/>
      <c r="AM139" s="7">
        <f>ROUND(SUM(AM137:AM138),5)</f>
        <v>0</v>
      </c>
      <c r="AN139" s="6"/>
      <c r="AO139" s="7">
        <f>ROUND(SUM(AO137:AO138),5)</f>
        <v>0</v>
      </c>
      <c r="AP139" s="6"/>
      <c r="AQ139" s="7">
        <f>ROUND(SUM(AQ137:AQ138),5)</f>
        <v>0</v>
      </c>
      <c r="AR139" s="6"/>
      <c r="AS139" s="7">
        <f>ROUND(SUM(AS137:AS138),5)</f>
        <v>0</v>
      </c>
      <c r="AT139" s="6"/>
      <c r="AU139" s="7">
        <f>ROUND(SUM(AU137:AU138),5)</f>
        <v>0</v>
      </c>
      <c r="AV139" s="6"/>
      <c r="AW139" s="7">
        <f>ROUND(SUM(G139:AU139),5)</f>
        <v>2400</v>
      </c>
    </row>
    <row r="140" spans="1:49">
      <c r="A140" s="4"/>
      <c r="B140" s="4"/>
      <c r="C140" s="4"/>
      <c r="D140" s="4"/>
      <c r="E140" s="4" t="s">
        <v>261</v>
      </c>
      <c r="F140" s="4"/>
      <c r="G140" s="7"/>
      <c r="H140" s="6"/>
      <c r="I140" s="7"/>
      <c r="J140" s="6"/>
      <c r="K140" s="7"/>
      <c r="L140" s="6"/>
      <c r="M140" s="7"/>
      <c r="N140" s="6"/>
      <c r="O140" s="7"/>
      <c r="P140" s="6"/>
      <c r="Q140" s="7"/>
      <c r="R140" s="6"/>
      <c r="S140" s="7"/>
      <c r="T140" s="6"/>
      <c r="U140" s="7"/>
      <c r="V140" s="6"/>
      <c r="W140" s="7"/>
      <c r="X140" s="6"/>
      <c r="Y140" s="7"/>
      <c r="Z140" s="6"/>
      <c r="AA140" s="7"/>
      <c r="AB140" s="6"/>
      <c r="AC140" s="7"/>
      <c r="AD140" s="6"/>
      <c r="AE140" s="7"/>
      <c r="AF140" s="6"/>
      <c r="AG140" s="7"/>
      <c r="AH140" s="6"/>
      <c r="AI140" s="7"/>
      <c r="AJ140" s="6"/>
      <c r="AK140" s="7"/>
      <c r="AL140" s="6"/>
      <c r="AM140" s="7"/>
      <c r="AN140" s="6"/>
      <c r="AO140" s="7"/>
      <c r="AP140" s="6"/>
      <c r="AQ140" s="7"/>
      <c r="AR140" s="6"/>
      <c r="AS140" s="7"/>
      <c r="AT140" s="6"/>
      <c r="AU140" s="7"/>
      <c r="AV140" s="6"/>
      <c r="AW140" s="7"/>
    </row>
    <row r="141" spans="1:49" ht="15.75" thickBot="1">
      <c r="A141" s="4"/>
      <c r="B141" s="4"/>
      <c r="C141" s="4"/>
      <c r="D141" s="4"/>
      <c r="E141" s="4"/>
      <c r="F141" s="4" t="s">
        <v>262</v>
      </c>
      <c r="G141" s="9">
        <v>0</v>
      </c>
      <c r="H141" s="6"/>
      <c r="I141" s="9">
        <v>0</v>
      </c>
      <c r="J141" s="6"/>
      <c r="K141" s="9">
        <v>0</v>
      </c>
      <c r="L141" s="6"/>
      <c r="M141" s="9">
        <v>0</v>
      </c>
      <c r="N141" s="6"/>
      <c r="O141" s="9">
        <v>0</v>
      </c>
      <c r="P141" s="6"/>
      <c r="Q141" s="9">
        <v>0</v>
      </c>
      <c r="R141" s="6"/>
      <c r="S141" s="9">
        <v>0</v>
      </c>
      <c r="T141" s="6"/>
      <c r="U141" s="9">
        <v>0</v>
      </c>
      <c r="V141" s="6"/>
      <c r="W141" s="9">
        <v>0</v>
      </c>
      <c r="X141" s="6"/>
      <c r="Y141" s="9">
        <v>292.5</v>
      </c>
      <c r="Z141" s="6"/>
      <c r="AA141" s="9">
        <v>0</v>
      </c>
      <c r="AB141" s="6"/>
      <c r="AC141" s="9">
        <v>0</v>
      </c>
      <c r="AD141" s="6"/>
      <c r="AE141" s="9">
        <v>0</v>
      </c>
      <c r="AF141" s="6"/>
      <c r="AG141" s="9">
        <v>0</v>
      </c>
      <c r="AH141" s="6"/>
      <c r="AI141" s="9">
        <v>0</v>
      </c>
      <c r="AJ141" s="6"/>
      <c r="AK141" s="9">
        <v>0</v>
      </c>
      <c r="AL141" s="6"/>
      <c r="AM141" s="9">
        <v>0</v>
      </c>
      <c r="AN141" s="6"/>
      <c r="AO141" s="9">
        <v>0</v>
      </c>
      <c r="AP141" s="6"/>
      <c r="AQ141" s="9">
        <v>0</v>
      </c>
      <c r="AR141" s="6"/>
      <c r="AS141" s="9">
        <v>0</v>
      </c>
      <c r="AT141" s="6"/>
      <c r="AU141" s="9">
        <v>0</v>
      </c>
      <c r="AV141" s="6"/>
      <c r="AW141" s="9">
        <f>ROUND(SUM(G141:AU141),5)</f>
        <v>292.5</v>
      </c>
    </row>
    <row r="142" spans="1:49">
      <c r="A142" s="4"/>
      <c r="B142" s="4"/>
      <c r="C142" s="4"/>
      <c r="D142" s="4"/>
      <c r="E142" s="4" t="s">
        <v>264</v>
      </c>
      <c r="F142" s="4"/>
      <c r="G142" s="7">
        <f>ROUND(SUM(G140:G141),5)</f>
        <v>0</v>
      </c>
      <c r="H142" s="6"/>
      <c r="I142" s="7">
        <f>ROUND(SUM(I140:I141),5)</f>
        <v>0</v>
      </c>
      <c r="J142" s="6"/>
      <c r="K142" s="7">
        <f>ROUND(SUM(K140:K141),5)</f>
        <v>0</v>
      </c>
      <c r="L142" s="6"/>
      <c r="M142" s="7">
        <f>ROUND(SUM(M140:M141),5)</f>
        <v>0</v>
      </c>
      <c r="N142" s="6"/>
      <c r="O142" s="7">
        <f>ROUND(SUM(O140:O141),5)</f>
        <v>0</v>
      </c>
      <c r="P142" s="6"/>
      <c r="Q142" s="7">
        <f>ROUND(SUM(Q140:Q141),5)</f>
        <v>0</v>
      </c>
      <c r="R142" s="6"/>
      <c r="S142" s="7">
        <f>ROUND(SUM(S140:S141),5)</f>
        <v>0</v>
      </c>
      <c r="T142" s="6"/>
      <c r="U142" s="7">
        <f>ROUND(SUM(U140:U141),5)</f>
        <v>0</v>
      </c>
      <c r="V142" s="6"/>
      <c r="W142" s="7">
        <f>ROUND(SUM(W140:W141),5)</f>
        <v>0</v>
      </c>
      <c r="X142" s="6"/>
      <c r="Y142" s="7">
        <f>ROUND(SUM(Y140:Y141),5)</f>
        <v>292.5</v>
      </c>
      <c r="Z142" s="6"/>
      <c r="AA142" s="7">
        <f>ROUND(SUM(AA140:AA141),5)</f>
        <v>0</v>
      </c>
      <c r="AB142" s="6"/>
      <c r="AC142" s="7">
        <f>ROUND(SUM(AC140:AC141),5)</f>
        <v>0</v>
      </c>
      <c r="AD142" s="6"/>
      <c r="AE142" s="7">
        <f>ROUND(SUM(AE140:AE141),5)</f>
        <v>0</v>
      </c>
      <c r="AF142" s="6"/>
      <c r="AG142" s="7">
        <f>ROUND(SUM(AG140:AG141),5)</f>
        <v>0</v>
      </c>
      <c r="AH142" s="6"/>
      <c r="AI142" s="7">
        <f>ROUND(SUM(AI140:AI141),5)</f>
        <v>0</v>
      </c>
      <c r="AJ142" s="6"/>
      <c r="AK142" s="7">
        <f>ROUND(SUM(AK140:AK141),5)</f>
        <v>0</v>
      </c>
      <c r="AL142" s="6"/>
      <c r="AM142" s="7">
        <f>ROUND(SUM(AM140:AM141),5)</f>
        <v>0</v>
      </c>
      <c r="AN142" s="6"/>
      <c r="AO142" s="7">
        <f>ROUND(SUM(AO140:AO141),5)</f>
        <v>0</v>
      </c>
      <c r="AP142" s="6"/>
      <c r="AQ142" s="7">
        <f>ROUND(SUM(AQ140:AQ141),5)</f>
        <v>0</v>
      </c>
      <c r="AR142" s="6"/>
      <c r="AS142" s="7">
        <f>ROUND(SUM(AS140:AS141),5)</f>
        <v>0</v>
      </c>
      <c r="AT142" s="6"/>
      <c r="AU142" s="7">
        <f>ROUND(SUM(AU140:AU141),5)</f>
        <v>0</v>
      </c>
      <c r="AV142" s="6"/>
      <c r="AW142" s="7">
        <f>ROUND(SUM(G142:AU142),5)</f>
        <v>292.5</v>
      </c>
    </row>
    <row r="143" spans="1:49">
      <c r="A143" s="4"/>
      <c r="B143" s="4"/>
      <c r="C143" s="4"/>
      <c r="D143" s="4"/>
      <c r="E143" s="4" t="s">
        <v>265</v>
      </c>
      <c r="F143" s="4"/>
      <c r="G143" s="7"/>
      <c r="H143" s="6"/>
      <c r="I143" s="7"/>
      <c r="J143" s="6"/>
      <c r="K143" s="7"/>
      <c r="L143" s="6"/>
      <c r="M143" s="7"/>
      <c r="N143" s="6"/>
      <c r="O143" s="7"/>
      <c r="P143" s="6"/>
      <c r="Q143" s="7"/>
      <c r="R143" s="6"/>
      <c r="S143" s="7"/>
      <c r="T143" s="6"/>
      <c r="U143" s="7"/>
      <c r="V143" s="6"/>
      <c r="W143" s="7"/>
      <c r="X143" s="6"/>
      <c r="Y143" s="7"/>
      <c r="Z143" s="6"/>
      <c r="AA143" s="7"/>
      <c r="AB143" s="6"/>
      <c r="AC143" s="7"/>
      <c r="AD143" s="6"/>
      <c r="AE143" s="7"/>
      <c r="AF143" s="6"/>
      <c r="AG143" s="7"/>
      <c r="AH143" s="6"/>
      <c r="AI143" s="7"/>
      <c r="AJ143" s="6"/>
      <c r="AK143" s="7"/>
      <c r="AL143" s="6"/>
      <c r="AM143" s="7"/>
      <c r="AN143" s="6"/>
      <c r="AO143" s="7"/>
      <c r="AP143" s="6"/>
      <c r="AQ143" s="7"/>
      <c r="AR143" s="6"/>
      <c r="AS143" s="7"/>
      <c r="AT143" s="6"/>
      <c r="AU143" s="7"/>
      <c r="AV143" s="6"/>
      <c r="AW143" s="7"/>
    </row>
    <row r="144" spans="1:49" ht="15.75" thickBot="1">
      <c r="A144" s="4"/>
      <c r="B144" s="4"/>
      <c r="C144" s="4"/>
      <c r="D144" s="4"/>
      <c r="E144" s="4"/>
      <c r="F144" s="4" t="s">
        <v>266</v>
      </c>
      <c r="G144" s="9">
        <v>0</v>
      </c>
      <c r="H144" s="6"/>
      <c r="I144" s="9">
        <v>0</v>
      </c>
      <c r="J144" s="6"/>
      <c r="K144" s="9">
        <v>0</v>
      </c>
      <c r="L144" s="6"/>
      <c r="M144" s="9">
        <v>0</v>
      </c>
      <c r="N144" s="6"/>
      <c r="O144" s="9">
        <v>0</v>
      </c>
      <c r="P144" s="6"/>
      <c r="Q144" s="9">
        <v>0</v>
      </c>
      <c r="R144" s="6"/>
      <c r="S144" s="9">
        <v>0</v>
      </c>
      <c r="T144" s="6"/>
      <c r="U144" s="9">
        <v>0</v>
      </c>
      <c r="V144" s="6"/>
      <c r="W144" s="9">
        <v>0</v>
      </c>
      <c r="X144" s="6"/>
      <c r="Y144" s="9">
        <v>21248.99</v>
      </c>
      <c r="Z144" s="6"/>
      <c r="AA144" s="9">
        <v>0</v>
      </c>
      <c r="AB144" s="6"/>
      <c r="AC144" s="9">
        <v>0</v>
      </c>
      <c r="AD144" s="6"/>
      <c r="AE144" s="9">
        <v>0</v>
      </c>
      <c r="AF144" s="6"/>
      <c r="AG144" s="9">
        <v>0</v>
      </c>
      <c r="AH144" s="6"/>
      <c r="AI144" s="9">
        <v>0</v>
      </c>
      <c r="AJ144" s="6"/>
      <c r="AK144" s="9">
        <v>0</v>
      </c>
      <c r="AL144" s="6"/>
      <c r="AM144" s="9">
        <v>0</v>
      </c>
      <c r="AN144" s="6"/>
      <c r="AO144" s="9">
        <v>0</v>
      </c>
      <c r="AP144" s="6"/>
      <c r="AQ144" s="9">
        <v>0</v>
      </c>
      <c r="AR144" s="6"/>
      <c r="AS144" s="9">
        <v>0</v>
      </c>
      <c r="AT144" s="6"/>
      <c r="AU144" s="9">
        <v>0</v>
      </c>
      <c r="AV144" s="6"/>
      <c r="AW144" s="9">
        <f>ROUND(SUM(G144:AU144),5)</f>
        <v>21248.99</v>
      </c>
    </row>
    <row r="145" spans="1:49">
      <c r="A145" s="4"/>
      <c r="B145" s="4"/>
      <c r="C145" s="4"/>
      <c r="D145" s="4"/>
      <c r="E145" s="4" t="s">
        <v>267</v>
      </c>
      <c r="F145" s="4"/>
      <c r="G145" s="7">
        <f>ROUND(SUM(G143:G144),5)</f>
        <v>0</v>
      </c>
      <c r="H145" s="6"/>
      <c r="I145" s="7">
        <f>ROUND(SUM(I143:I144),5)</f>
        <v>0</v>
      </c>
      <c r="J145" s="6"/>
      <c r="K145" s="7">
        <f>ROUND(SUM(K143:K144),5)</f>
        <v>0</v>
      </c>
      <c r="L145" s="6"/>
      <c r="M145" s="7">
        <f>ROUND(SUM(M143:M144),5)</f>
        <v>0</v>
      </c>
      <c r="N145" s="6"/>
      <c r="O145" s="7">
        <f>ROUND(SUM(O143:O144),5)</f>
        <v>0</v>
      </c>
      <c r="P145" s="6"/>
      <c r="Q145" s="7">
        <f>ROUND(SUM(Q143:Q144),5)</f>
        <v>0</v>
      </c>
      <c r="R145" s="6"/>
      <c r="S145" s="7">
        <f>ROUND(SUM(S143:S144),5)</f>
        <v>0</v>
      </c>
      <c r="T145" s="6"/>
      <c r="U145" s="7">
        <f>ROUND(SUM(U143:U144),5)</f>
        <v>0</v>
      </c>
      <c r="V145" s="6"/>
      <c r="W145" s="7">
        <f>ROUND(SUM(W143:W144),5)</f>
        <v>0</v>
      </c>
      <c r="X145" s="6"/>
      <c r="Y145" s="7">
        <f>ROUND(SUM(Y143:Y144),5)</f>
        <v>21248.99</v>
      </c>
      <c r="Z145" s="6"/>
      <c r="AA145" s="7">
        <f>ROUND(SUM(AA143:AA144),5)</f>
        <v>0</v>
      </c>
      <c r="AB145" s="6"/>
      <c r="AC145" s="7">
        <f>ROUND(SUM(AC143:AC144),5)</f>
        <v>0</v>
      </c>
      <c r="AD145" s="6"/>
      <c r="AE145" s="7">
        <f>ROUND(SUM(AE143:AE144),5)</f>
        <v>0</v>
      </c>
      <c r="AF145" s="6"/>
      <c r="AG145" s="7">
        <f>ROUND(SUM(AG143:AG144),5)</f>
        <v>0</v>
      </c>
      <c r="AH145" s="6"/>
      <c r="AI145" s="7">
        <f>ROUND(SUM(AI143:AI144),5)</f>
        <v>0</v>
      </c>
      <c r="AJ145" s="6"/>
      <c r="AK145" s="7">
        <f>ROUND(SUM(AK143:AK144),5)</f>
        <v>0</v>
      </c>
      <c r="AL145" s="6"/>
      <c r="AM145" s="7">
        <f>ROUND(SUM(AM143:AM144),5)</f>
        <v>0</v>
      </c>
      <c r="AN145" s="6"/>
      <c r="AO145" s="7">
        <f>ROUND(SUM(AO143:AO144),5)</f>
        <v>0</v>
      </c>
      <c r="AP145" s="6"/>
      <c r="AQ145" s="7">
        <f>ROUND(SUM(AQ143:AQ144),5)</f>
        <v>0</v>
      </c>
      <c r="AR145" s="6"/>
      <c r="AS145" s="7">
        <f>ROUND(SUM(AS143:AS144),5)</f>
        <v>0</v>
      </c>
      <c r="AT145" s="6"/>
      <c r="AU145" s="7">
        <f>ROUND(SUM(AU143:AU144),5)</f>
        <v>0</v>
      </c>
      <c r="AV145" s="6"/>
      <c r="AW145" s="7">
        <f>ROUND(SUM(G145:AU145),5)</f>
        <v>21248.99</v>
      </c>
    </row>
    <row r="146" spans="1:49">
      <c r="A146" s="4"/>
      <c r="B146" s="4"/>
      <c r="C146" s="4"/>
      <c r="D146" s="4"/>
      <c r="E146" s="4" t="s">
        <v>268</v>
      </c>
      <c r="F146" s="4"/>
      <c r="G146" s="7"/>
      <c r="H146" s="6"/>
      <c r="I146" s="7"/>
      <c r="J146" s="6"/>
      <c r="K146" s="7"/>
      <c r="L146" s="6"/>
      <c r="M146" s="7"/>
      <c r="N146" s="6"/>
      <c r="O146" s="7"/>
      <c r="P146" s="6"/>
      <c r="Q146" s="7"/>
      <c r="R146" s="6"/>
      <c r="S146" s="7"/>
      <c r="T146" s="6"/>
      <c r="U146" s="7"/>
      <c r="V146" s="6"/>
      <c r="W146" s="7"/>
      <c r="X146" s="6"/>
      <c r="Y146" s="7"/>
      <c r="Z146" s="6"/>
      <c r="AA146" s="7"/>
      <c r="AB146" s="6"/>
      <c r="AC146" s="7"/>
      <c r="AD146" s="6"/>
      <c r="AE146" s="7"/>
      <c r="AF146" s="6"/>
      <c r="AG146" s="7"/>
      <c r="AH146" s="6"/>
      <c r="AI146" s="7"/>
      <c r="AJ146" s="6"/>
      <c r="AK146" s="7"/>
      <c r="AL146" s="6"/>
      <c r="AM146" s="7"/>
      <c r="AN146" s="6"/>
      <c r="AO146" s="7"/>
      <c r="AP146" s="6"/>
      <c r="AQ146" s="7"/>
      <c r="AR146" s="6"/>
      <c r="AS146" s="7"/>
      <c r="AT146" s="6"/>
      <c r="AU146" s="7"/>
      <c r="AV146" s="6"/>
      <c r="AW146" s="7"/>
    </row>
    <row r="147" spans="1:49" ht="15.75" thickBot="1">
      <c r="A147" s="4"/>
      <c r="B147" s="4"/>
      <c r="C147" s="4"/>
      <c r="D147" s="4"/>
      <c r="E147" s="4"/>
      <c r="F147" s="4" t="s">
        <v>273</v>
      </c>
      <c r="G147" s="9">
        <v>0</v>
      </c>
      <c r="H147" s="6"/>
      <c r="I147" s="9">
        <v>0</v>
      </c>
      <c r="J147" s="6"/>
      <c r="K147" s="9">
        <v>0</v>
      </c>
      <c r="L147" s="6"/>
      <c r="M147" s="9">
        <v>0</v>
      </c>
      <c r="N147" s="6"/>
      <c r="O147" s="9">
        <v>0</v>
      </c>
      <c r="P147" s="6"/>
      <c r="Q147" s="9">
        <v>0</v>
      </c>
      <c r="R147" s="6"/>
      <c r="S147" s="9">
        <v>0</v>
      </c>
      <c r="T147" s="6"/>
      <c r="U147" s="9">
        <v>0</v>
      </c>
      <c r="V147" s="6"/>
      <c r="W147" s="9">
        <v>0</v>
      </c>
      <c r="X147" s="6"/>
      <c r="Y147" s="9">
        <v>18.27</v>
      </c>
      <c r="Z147" s="6"/>
      <c r="AA147" s="9">
        <v>0</v>
      </c>
      <c r="AB147" s="6"/>
      <c r="AC147" s="9">
        <v>0</v>
      </c>
      <c r="AD147" s="6"/>
      <c r="AE147" s="9">
        <v>0</v>
      </c>
      <c r="AF147" s="6"/>
      <c r="AG147" s="9">
        <v>0</v>
      </c>
      <c r="AH147" s="6"/>
      <c r="AI147" s="9">
        <v>0</v>
      </c>
      <c r="AJ147" s="6"/>
      <c r="AK147" s="9">
        <v>0</v>
      </c>
      <c r="AL147" s="6"/>
      <c r="AM147" s="9">
        <v>0</v>
      </c>
      <c r="AN147" s="6"/>
      <c r="AO147" s="9">
        <v>0</v>
      </c>
      <c r="AP147" s="6"/>
      <c r="AQ147" s="9">
        <v>0</v>
      </c>
      <c r="AR147" s="6"/>
      <c r="AS147" s="9">
        <v>0</v>
      </c>
      <c r="AT147" s="6"/>
      <c r="AU147" s="9">
        <v>0</v>
      </c>
      <c r="AV147" s="6"/>
      <c r="AW147" s="9">
        <f>ROUND(SUM(G147:AU147),5)</f>
        <v>18.27</v>
      </c>
    </row>
    <row r="148" spans="1:49">
      <c r="A148" s="4"/>
      <c r="B148" s="4"/>
      <c r="C148" s="4"/>
      <c r="D148" s="4"/>
      <c r="E148" s="4" t="s">
        <v>274</v>
      </c>
      <c r="F148" s="4"/>
      <c r="G148" s="7">
        <f>ROUND(SUM(G146:G147),5)</f>
        <v>0</v>
      </c>
      <c r="H148" s="6"/>
      <c r="I148" s="7">
        <f>ROUND(SUM(I146:I147),5)</f>
        <v>0</v>
      </c>
      <c r="J148" s="6"/>
      <c r="K148" s="7">
        <f>ROUND(SUM(K146:K147),5)</f>
        <v>0</v>
      </c>
      <c r="L148" s="6"/>
      <c r="M148" s="7">
        <f>ROUND(SUM(M146:M147),5)</f>
        <v>0</v>
      </c>
      <c r="N148" s="6"/>
      <c r="O148" s="7">
        <f>ROUND(SUM(O146:O147),5)</f>
        <v>0</v>
      </c>
      <c r="P148" s="6"/>
      <c r="Q148" s="7">
        <f>ROUND(SUM(Q146:Q147),5)</f>
        <v>0</v>
      </c>
      <c r="R148" s="6"/>
      <c r="S148" s="7">
        <f>ROUND(SUM(S146:S147),5)</f>
        <v>0</v>
      </c>
      <c r="T148" s="6"/>
      <c r="U148" s="7">
        <f>ROUND(SUM(U146:U147),5)</f>
        <v>0</v>
      </c>
      <c r="V148" s="6"/>
      <c r="W148" s="7">
        <f>ROUND(SUM(W146:W147),5)</f>
        <v>0</v>
      </c>
      <c r="X148" s="6"/>
      <c r="Y148" s="7">
        <f>ROUND(SUM(Y146:Y147),5)</f>
        <v>18.27</v>
      </c>
      <c r="Z148" s="6"/>
      <c r="AA148" s="7">
        <f>ROUND(SUM(AA146:AA147),5)</f>
        <v>0</v>
      </c>
      <c r="AB148" s="6"/>
      <c r="AC148" s="7">
        <f>ROUND(SUM(AC146:AC147),5)</f>
        <v>0</v>
      </c>
      <c r="AD148" s="6"/>
      <c r="AE148" s="7">
        <f>ROUND(SUM(AE146:AE147),5)</f>
        <v>0</v>
      </c>
      <c r="AF148" s="6"/>
      <c r="AG148" s="7">
        <f>ROUND(SUM(AG146:AG147),5)</f>
        <v>0</v>
      </c>
      <c r="AH148" s="6"/>
      <c r="AI148" s="7">
        <f>ROUND(SUM(AI146:AI147),5)</f>
        <v>0</v>
      </c>
      <c r="AJ148" s="6"/>
      <c r="AK148" s="7">
        <f>ROUND(SUM(AK146:AK147),5)</f>
        <v>0</v>
      </c>
      <c r="AL148" s="6"/>
      <c r="AM148" s="7">
        <f>ROUND(SUM(AM146:AM147),5)</f>
        <v>0</v>
      </c>
      <c r="AN148" s="6"/>
      <c r="AO148" s="7">
        <f>ROUND(SUM(AO146:AO147),5)</f>
        <v>0</v>
      </c>
      <c r="AP148" s="6"/>
      <c r="AQ148" s="7">
        <f>ROUND(SUM(AQ146:AQ147),5)</f>
        <v>0</v>
      </c>
      <c r="AR148" s="6"/>
      <c r="AS148" s="7">
        <f>ROUND(SUM(AS146:AS147),5)</f>
        <v>0</v>
      </c>
      <c r="AT148" s="6"/>
      <c r="AU148" s="7">
        <f>ROUND(SUM(AU146:AU147),5)</f>
        <v>0</v>
      </c>
      <c r="AV148" s="6"/>
      <c r="AW148" s="7">
        <f>ROUND(SUM(G148:AU148),5)</f>
        <v>18.27</v>
      </c>
    </row>
    <row r="149" spans="1:49">
      <c r="A149" s="4"/>
      <c r="B149" s="4"/>
      <c r="C149" s="4"/>
      <c r="D149" s="4"/>
      <c r="E149" s="4" t="s">
        <v>275</v>
      </c>
      <c r="F149" s="4"/>
      <c r="G149" s="7"/>
      <c r="H149" s="6"/>
      <c r="I149" s="7"/>
      <c r="J149" s="6"/>
      <c r="K149" s="7"/>
      <c r="L149" s="6"/>
      <c r="M149" s="7"/>
      <c r="N149" s="6"/>
      <c r="O149" s="7"/>
      <c r="P149" s="6"/>
      <c r="Q149" s="7"/>
      <c r="R149" s="6"/>
      <c r="S149" s="7"/>
      <c r="T149" s="6"/>
      <c r="U149" s="7"/>
      <c r="V149" s="6"/>
      <c r="W149" s="7"/>
      <c r="X149" s="6"/>
      <c r="Y149" s="7"/>
      <c r="Z149" s="6"/>
      <c r="AA149" s="7"/>
      <c r="AB149" s="6"/>
      <c r="AC149" s="7"/>
      <c r="AD149" s="6"/>
      <c r="AE149" s="7"/>
      <c r="AF149" s="6"/>
      <c r="AG149" s="7"/>
      <c r="AH149" s="6"/>
      <c r="AI149" s="7"/>
      <c r="AJ149" s="6"/>
      <c r="AK149" s="7"/>
      <c r="AL149" s="6"/>
      <c r="AM149" s="7"/>
      <c r="AN149" s="6"/>
      <c r="AO149" s="7"/>
      <c r="AP149" s="6"/>
      <c r="AQ149" s="7"/>
      <c r="AR149" s="6"/>
      <c r="AS149" s="7"/>
      <c r="AT149" s="6"/>
      <c r="AU149" s="7"/>
      <c r="AV149" s="6"/>
      <c r="AW149" s="7"/>
    </row>
    <row r="150" spans="1:49" ht="15.75" thickBot="1">
      <c r="A150" s="4"/>
      <c r="B150" s="4"/>
      <c r="C150" s="4"/>
      <c r="D150" s="4"/>
      <c r="E150" s="4"/>
      <c r="F150" s="4" t="s">
        <v>276</v>
      </c>
      <c r="G150" s="9">
        <v>0</v>
      </c>
      <c r="H150" s="6"/>
      <c r="I150" s="9">
        <v>0</v>
      </c>
      <c r="J150" s="6"/>
      <c r="K150" s="9">
        <v>0</v>
      </c>
      <c r="L150" s="6"/>
      <c r="M150" s="9">
        <v>0</v>
      </c>
      <c r="N150" s="6"/>
      <c r="O150" s="9">
        <v>0</v>
      </c>
      <c r="P150" s="6"/>
      <c r="Q150" s="9">
        <v>0</v>
      </c>
      <c r="R150" s="6"/>
      <c r="S150" s="9">
        <v>0</v>
      </c>
      <c r="T150" s="6"/>
      <c r="U150" s="9">
        <v>0</v>
      </c>
      <c r="V150" s="6"/>
      <c r="W150" s="9">
        <v>0</v>
      </c>
      <c r="X150" s="6"/>
      <c r="Y150" s="9">
        <v>8776.48</v>
      </c>
      <c r="Z150" s="6"/>
      <c r="AA150" s="9">
        <v>0</v>
      </c>
      <c r="AB150" s="6"/>
      <c r="AC150" s="9">
        <v>0</v>
      </c>
      <c r="AD150" s="6"/>
      <c r="AE150" s="9">
        <v>0</v>
      </c>
      <c r="AF150" s="6"/>
      <c r="AG150" s="9">
        <v>0</v>
      </c>
      <c r="AH150" s="6"/>
      <c r="AI150" s="9">
        <v>0</v>
      </c>
      <c r="AJ150" s="6"/>
      <c r="AK150" s="9">
        <v>0</v>
      </c>
      <c r="AL150" s="6"/>
      <c r="AM150" s="9">
        <v>0</v>
      </c>
      <c r="AN150" s="6"/>
      <c r="AO150" s="9">
        <v>0</v>
      </c>
      <c r="AP150" s="6"/>
      <c r="AQ150" s="9">
        <v>0</v>
      </c>
      <c r="AR150" s="6"/>
      <c r="AS150" s="9">
        <v>0</v>
      </c>
      <c r="AT150" s="6"/>
      <c r="AU150" s="9">
        <v>0</v>
      </c>
      <c r="AV150" s="6"/>
      <c r="AW150" s="9">
        <f>ROUND(SUM(G150:AU150),5)</f>
        <v>8776.48</v>
      </c>
    </row>
    <row r="151" spans="1:49">
      <c r="A151" s="4"/>
      <c r="B151" s="4"/>
      <c r="C151" s="4"/>
      <c r="D151" s="4"/>
      <c r="E151" s="4" t="s">
        <v>277</v>
      </c>
      <c r="F151" s="4"/>
      <c r="G151" s="7">
        <f>ROUND(SUM(G149:G150),5)</f>
        <v>0</v>
      </c>
      <c r="H151" s="6"/>
      <c r="I151" s="7">
        <f>ROUND(SUM(I149:I150),5)</f>
        <v>0</v>
      </c>
      <c r="J151" s="6"/>
      <c r="K151" s="7">
        <f>ROUND(SUM(K149:K150),5)</f>
        <v>0</v>
      </c>
      <c r="L151" s="6"/>
      <c r="M151" s="7">
        <f>ROUND(SUM(M149:M150),5)</f>
        <v>0</v>
      </c>
      <c r="N151" s="6"/>
      <c r="O151" s="7">
        <f>ROUND(SUM(O149:O150),5)</f>
        <v>0</v>
      </c>
      <c r="P151" s="6"/>
      <c r="Q151" s="7">
        <f>ROUND(SUM(Q149:Q150),5)</f>
        <v>0</v>
      </c>
      <c r="R151" s="6"/>
      <c r="S151" s="7">
        <f>ROUND(SUM(S149:S150),5)</f>
        <v>0</v>
      </c>
      <c r="T151" s="6"/>
      <c r="U151" s="7">
        <f>ROUND(SUM(U149:U150),5)</f>
        <v>0</v>
      </c>
      <c r="V151" s="6"/>
      <c r="W151" s="7">
        <f>ROUND(SUM(W149:W150),5)</f>
        <v>0</v>
      </c>
      <c r="X151" s="6"/>
      <c r="Y151" s="7">
        <f>ROUND(SUM(Y149:Y150),5)</f>
        <v>8776.48</v>
      </c>
      <c r="Z151" s="6"/>
      <c r="AA151" s="7">
        <f>ROUND(SUM(AA149:AA150),5)</f>
        <v>0</v>
      </c>
      <c r="AB151" s="6"/>
      <c r="AC151" s="7">
        <f>ROUND(SUM(AC149:AC150),5)</f>
        <v>0</v>
      </c>
      <c r="AD151" s="6"/>
      <c r="AE151" s="7">
        <f>ROUND(SUM(AE149:AE150),5)</f>
        <v>0</v>
      </c>
      <c r="AF151" s="6"/>
      <c r="AG151" s="7">
        <f>ROUND(SUM(AG149:AG150),5)</f>
        <v>0</v>
      </c>
      <c r="AH151" s="6"/>
      <c r="AI151" s="7">
        <f>ROUND(SUM(AI149:AI150),5)</f>
        <v>0</v>
      </c>
      <c r="AJ151" s="6"/>
      <c r="AK151" s="7">
        <f>ROUND(SUM(AK149:AK150),5)</f>
        <v>0</v>
      </c>
      <c r="AL151" s="6"/>
      <c r="AM151" s="7">
        <f>ROUND(SUM(AM149:AM150),5)</f>
        <v>0</v>
      </c>
      <c r="AN151" s="6"/>
      <c r="AO151" s="7">
        <f>ROUND(SUM(AO149:AO150),5)</f>
        <v>0</v>
      </c>
      <c r="AP151" s="6"/>
      <c r="AQ151" s="7">
        <f>ROUND(SUM(AQ149:AQ150),5)</f>
        <v>0</v>
      </c>
      <c r="AR151" s="6"/>
      <c r="AS151" s="7">
        <f>ROUND(SUM(AS149:AS150),5)</f>
        <v>0</v>
      </c>
      <c r="AT151" s="6"/>
      <c r="AU151" s="7">
        <f>ROUND(SUM(AU149:AU150),5)</f>
        <v>0</v>
      </c>
      <c r="AV151" s="6"/>
      <c r="AW151" s="7">
        <f>ROUND(SUM(G151:AU151),5)</f>
        <v>8776.48</v>
      </c>
    </row>
    <row r="152" spans="1:49">
      <c r="A152" s="4"/>
      <c r="B152" s="4"/>
      <c r="C152" s="4"/>
      <c r="D152" s="4"/>
      <c r="E152" s="4" t="s">
        <v>278</v>
      </c>
      <c r="F152" s="4"/>
      <c r="G152" s="7"/>
      <c r="H152" s="6"/>
      <c r="I152" s="7"/>
      <c r="J152" s="6"/>
      <c r="K152" s="7"/>
      <c r="L152" s="6"/>
      <c r="M152" s="7"/>
      <c r="N152" s="6"/>
      <c r="O152" s="7"/>
      <c r="P152" s="6"/>
      <c r="Q152" s="7"/>
      <c r="R152" s="6"/>
      <c r="S152" s="7"/>
      <c r="T152" s="6"/>
      <c r="U152" s="7"/>
      <c r="V152" s="6"/>
      <c r="W152" s="7"/>
      <c r="X152" s="6"/>
      <c r="Y152" s="7"/>
      <c r="Z152" s="6"/>
      <c r="AA152" s="7"/>
      <c r="AB152" s="6"/>
      <c r="AC152" s="7"/>
      <c r="AD152" s="6"/>
      <c r="AE152" s="7"/>
      <c r="AF152" s="6"/>
      <c r="AG152" s="7"/>
      <c r="AH152" s="6"/>
      <c r="AI152" s="7"/>
      <c r="AJ152" s="6"/>
      <c r="AK152" s="7"/>
      <c r="AL152" s="6"/>
      <c r="AM152" s="7"/>
      <c r="AN152" s="6"/>
      <c r="AO152" s="7"/>
      <c r="AP152" s="6"/>
      <c r="AQ152" s="7"/>
      <c r="AR152" s="6"/>
      <c r="AS152" s="7"/>
      <c r="AT152" s="6"/>
      <c r="AU152" s="7"/>
      <c r="AV152" s="6"/>
      <c r="AW152" s="7"/>
    </row>
    <row r="153" spans="1:49">
      <c r="A153" s="4"/>
      <c r="B153" s="4"/>
      <c r="C153" s="4"/>
      <c r="D153" s="4"/>
      <c r="E153" s="4"/>
      <c r="F153" s="4" t="s">
        <v>279</v>
      </c>
      <c r="G153" s="7">
        <v>0</v>
      </c>
      <c r="H153" s="6"/>
      <c r="I153" s="7">
        <v>0</v>
      </c>
      <c r="J153" s="6"/>
      <c r="K153" s="7">
        <v>0</v>
      </c>
      <c r="L153" s="6"/>
      <c r="M153" s="7">
        <v>0</v>
      </c>
      <c r="N153" s="6"/>
      <c r="O153" s="7">
        <v>0</v>
      </c>
      <c r="P153" s="6"/>
      <c r="Q153" s="7">
        <v>0</v>
      </c>
      <c r="R153" s="6"/>
      <c r="S153" s="7">
        <v>0</v>
      </c>
      <c r="T153" s="6"/>
      <c r="U153" s="7">
        <v>0</v>
      </c>
      <c r="V153" s="6"/>
      <c r="W153" s="7">
        <v>0</v>
      </c>
      <c r="X153" s="6"/>
      <c r="Y153" s="7">
        <v>14400</v>
      </c>
      <c r="Z153" s="6"/>
      <c r="AA153" s="7">
        <v>2500</v>
      </c>
      <c r="AB153" s="6"/>
      <c r="AC153" s="7">
        <v>0</v>
      </c>
      <c r="AD153" s="6"/>
      <c r="AE153" s="7">
        <v>0</v>
      </c>
      <c r="AF153" s="6"/>
      <c r="AG153" s="7">
        <v>0</v>
      </c>
      <c r="AH153" s="6"/>
      <c r="AI153" s="7">
        <v>0</v>
      </c>
      <c r="AJ153" s="6"/>
      <c r="AK153" s="7">
        <v>0</v>
      </c>
      <c r="AL153" s="6"/>
      <c r="AM153" s="7">
        <v>0</v>
      </c>
      <c r="AN153" s="6"/>
      <c r="AO153" s="7">
        <v>0</v>
      </c>
      <c r="AP153" s="6"/>
      <c r="AQ153" s="7">
        <v>0</v>
      </c>
      <c r="AR153" s="6"/>
      <c r="AS153" s="7">
        <v>0</v>
      </c>
      <c r="AT153" s="6"/>
      <c r="AU153" s="7">
        <v>0</v>
      </c>
      <c r="AV153" s="6"/>
      <c r="AW153" s="7">
        <f>ROUND(SUM(G153:AU153),5)</f>
        <v>16900</v>
      </c>
    </row>
    <row r="154" spans="1:49">
      <c r="A154" s="4"/>
      <c r="B154" s="4"/>
      <c r="C154" s="4"/>
      <c r="D154" s="4"/>
      <c r="E154" s="4"/>
      <c r="F154" s="4" t="s">
        <v>281</v>
      </c>
      <c r="G154" s="7">
        <v>0</v>
      </c>
      <c r="H154" s="6"/>
      <c r="I154" s="7">
        <v>0</v>
      </c>
      <c r="J154" s="6"/>
      <c r="K154" s="7">
        <v>0</v>
      </c>
      <c r="L154" s="6"/>
      <c r="M154" s="7">
        <v>0</v>
      </c>
      <c r="N154" s="6"/>
      <c r="O154" s="7">
        <v>0</v>
      </c>
      <c r="P154" s="6"/>
      <c r="Q154" s="7">
        <v>0</v>
      </c>
      <c r="R154" s="6"/>
      <c r="S154" s="7">
        <v>0</v>
      </c>
      <c r="T154" s="6"/>
      <c r="U154" s="7">
        <v>0</v>
      </c>
      <c r="V154" s="6"/>
      <c r="W154" s="7">
        <v>0</v>
      </c>
      <c r="X154" s="6"/>
      <c r="Y154" s="7">
        <v>1081.06</v>
      </c>
      <c r="Z154" s="6"/>
      <c r="AA154" s="7">
        <v>191.25</v>
      </c>
      <c r="AB154" s="6"/>
      <c r="AC154" s="7">
        <v>0</v>
      </c>
      <c r="AD154" s="6"/>
      <c r="AE154" s="7">
        <v>0</v>
      </c>
      <c r="AF154" s="6"/>
      <c r="AG154" s="7">
        <v>0</v>
      </c>
      <c r="AH154" s="6"/>
      <c r="AI154" s="7">
        <v>0</v>
      </c>
      <c r="AJ154" s="6"/>
      <c r="AK154" s="7">
        <v>0</v>
      </c>
      <c r="AL154" s="6"/>
      <c r="AM154" s="7">
        <v>0</v>
      </c>
      <c r="AN154" s="6"/>
      <c r="AO154" s="7">
        <v>0</v>
      </c>
      <c r="AP154" s="6"/>
      <c r="AQ154" s="7">
        <v>0</v>
      </c>
      <c r="AR154" s="6"/>
      <c r="AS154" s="7">
        <v>0</v>
      </c>
      <c r="AT154" s="6"/>
      <c r="AU154" s="7">
        <v>0</v>
      </c>
      <c r="AV154" s="6"/>
      <c r="AW154" s="7">
        <f>ROUND(SUM(G154:AU154),5)</f>
        <v>1272.31</v>
      </c>
    </row>
    <row r="155" spans="1:49">
      <c r="A155" s="4"/>
      <c r="B155" s="4"/>
      <c r="C155" s="4"/>
      <c r="D155" s="4"/>
      <c r="E155" s="4"/>
      <c r="F155" s="4" t="s">
        <v>282</v>
      </c>
      <c r="G155" s="7">
        <v>0</v>
      </c>
      <c r="H155" s="6"/>
      <c r="I155" s="7">
        <v>0</v>
      </c>
      <c r="J155" s="6"/>
      <c r="K155" s="7">
        <v>0</v>
      </c>
      <c r="L155" s="6"/>
      <c r="M155" s="7">
        <v>0</v>
      </c>
      <c r="N155" s="6"/>
      <c r="O155" s="7">
        <v>0</v>
      </c>
      <c r="P155" s="6"/>
      <c r="Q155" s="7">
        <v>0</v>
      </c>
      <c r="R155" s="6"/>
      <c r="S155" s="7">
        <v>0</v>
      </c>
      <c r="T155" s="6"/>
      <c r="U155" s="7">
        <v>0</v>
      </c>
      <c r="V155" s="6"/>
      <c r="W155" s="7">
        <v>0</v>
      </c>
      <c r="X155" s="6"/>
      <c r="Y155" s="7">
        <v>1244.3699999999999</v>
      </c>
      <c r="Z155" s="6"/>
      <c r="AA155" s="7">
        <v>0</v>
      </c>
      <c r="AB155" s="6"/>
      <c r="AC155" s="7">
        <v>0</v>
      </c>
      <c r="AD155" s="6"/>
      <c r="AE155" s="7">
        <v>0</v>
      </c>
      <c r="AF155" s="6"/>
      <c r="AG155" s="7">
        <v>0</v>
      </c>
      <c r="AH155" s="6"/>
      <c r="AI155" s="7">
        <v>0</v>
      </c>
      <c r="AJ155" s="6"/>
      <c r="AK155" s="7">
        <v>0</v>
      </c>
      <c r="AL155" s="6"/>
      <c r="AM155" s="7">
        <v>0</v>
      </c>
      <c r="AN155" s="6"/>
      <c r="AO155" s="7">
        <v>0</v>
      </c>
      <c r="AP155" s="6"/>
      <c r="AQ155" s="7">
        <v>0</v>
      </c>
      <c r="AR155" s="6"/>
      <c r="AS155" s="7">
        <v>0</v>
      </c>
      <c r="AT155" s="6"/>
      <c r="AU155" s="7">
        <v>0</v>
      </c>
      <c r="AV155" s="6"/>
      <c r="AW155" s="7">
        <f>ROUND(SUM(G155:AU155),5)</f>
        <v>1244.3699999999999</v>
      </c>
    </row>
    <row r="156" spans="1:49">
      <c r="A156" s="4"/>
      <c r="B156" s="4"/>
      <c r="C156" s="4"/>
      <c r="D156" s="4"/>
      <c r="E156" s="4"/>
      <c r="F156" s="4" t="s">
        <v>284</v>
      </c>
      <c r="G156" s="7">
        <v>0</v>
      </c>
      <c r="H156" s="6"/>
      <c r="I156" s="7">
        <v>0</v>
      </c>
      <c r="J156" s="6"/>
      <c r="K156" s="7">
        <v>0</v>
      </c>
      <c r="L156" s="6"/>
      <c r="M156" s="7">
        <v>0</v>
      </c>
      <c r="N156" s="6"/>
      <c r="O156" s="7">
        <v>0</v>
      </c>
      <c r="P156" s="6"/>
      <c r="Q156" s="7">
        <v>0</v>
      </c>
      <c r="R156" s="6"/>
      <c r="S156" s="7">
        <v>0</v>
      </c>
      <c r="T156" s="6"/>
      <c r="U156" s="7">
        <v>0</v>
      </c>
      <c r="V156" s="6"/>
      <c r="W156" s="7">
        <v>0</v>
      </c>
      <c r="X156" s="6"/>
      <c r="Y156" s="7">
        <v>93941.53</v>
      </c>
      <c r="Z156" s="6"/>
      <c r="AA156" s="7">
        <v>3078.33</v>
      </c>
      <c r="AB156" s="6"/>
      <c r="AC156" s="7">
        <v>0</v>
      </c>
      <c r="AD156" s="6"/>
      <c r="AE156" s="7">
        <v>0</v>
      </c>
      <c r="AF156" s="6"/>
      <c r="AG156" s="7">
        <v>0</v>
      </c>
      <c r="AH156" s="6"/>
      <c r="AI156" s="7">
        <v>0</v>
      </c>
      <c r="AJ156" s="6"/>
      <c r="AK156" s="7">
        <v>0</v>
      </c>
      <c r="AL156" s="6"/>
      <c r="AM156" s="7">
        <v>0</v>
      </c>
      <c r="AN156" s="6"/>
      <c r="AO156" s="7">
        <v>0</v>
      </c>
      <c r="AP156" s="6"/>
      <c r="AQ156" s="7">
        <v>0</v>
      </c>
      <c r="AR156" s="6"/>
      <c r="AS156" s="7">
        <v>0</v>
      </c>
      <c r="AT156" s="6"/>
      <c r="AU156" s="7">
        <v>0</v>
      </c>
      <c r="AV156" s="6"/>
      <c r="AW156" s="7">
        <f>ROUND(SUM(G156:AU156),5)</f>
        <v>97019.86</v>
      </c>
    </row>
    <row r="157" spans="1:49">
      <c r="A157" s="4"/>
      <c r="B157" s="4"/>
      <c r="C157" s="4"/>
      <c r="D157" s="4"/>
      <c r="E157" s="4"/>
      <c r="F157" s="4" t="s">
        <v>285</v>
      </c>
      <c r="G157" s="7">
        <v>0</v>
      </c>
      <c r="H157" s="6"/>
      <c r="I157" s="7">
        <v>0</v>
      </c>
      <c r="J157" s="6"/>
      <c r="K157" s="7">
        <v>0</v>
      </c>
      <c r="L157" s="6"/>
      <c r="M157" s="7">
        <v>0</v>
      </c>
      <c r="N157" s="6"/>
      <c r="O157" s="7">
        <v>0</v>
      </c>
      <c r="P157" s="6"/>
      <c r="Q157" s="7">
        <v>0</v>
      </c>
      <c r="R157" s="6"/>
      <c r="S157" s="7">
        <v>0</v>
      </c>
      <c r="T157" s="6"/>
      <c r="U157" s="7">
        <v>0</v>
      </c>
      <c r="V157" s="6"/>
      <c r="W157" s="7">
        <v>0</v>
      </c>
      <c r="X157" s="6"/>
      <c r="Y157" s="7">
        <v>7744.5</v>
      </c>
      <c r="Z157" s="6"/>
      <c r="AA157" s="7">
        <v>0</v>
      </c>
      <c r="AB157" s="6"/>
      <c r="AC157" s="7">
        <v>0</v>
      </c>
      <c r="AD157" s="6"/>
      <c r="AE157" s="7">
        <v>0</v>
      </c>
      <c r="AF157" s="6"/>
      <c r="AG157" s="7">
        <v>0</v>
      </c>
      <c r="AH157" s="6"/>
      <c r="AI157" s="7">
        <v>0</v>
      </c>
      <c r="AJ157" s="6"/>
      <c r="AK157" s="7">
        <v>0</v>
      </c>
      <c r="AL157" s="6"/>
      <c r="AM157" s="7">
        <v>0</v>
      </c>
      <c r="AN157" s="6"/>
      <c r="AO157" s="7">
        <v>0</v>
      </c>
      <c r="AP157" s="6"/>
      <c r="AQ157" s="7">
        <v>0</v>
      </c>
      <c r="AR157" s="6"/>
      <c r="AS157" s="7">
        <v>0</v>
      </c>
      <c r="AT157" s="6"/>
      <c r="AU157" s="7">
        <v>0</v>
      </c>
      <c r="AV157" s="6"/>
      <c r="AW157" s="7">
        <f>ROUND(SUM(G157:AU157),5)</f>
        <v>7744.5</v>
      </c>
    </row>
    <row r="158" spans="1:49" ht="15.75" thickBot="1">
      <c r="A158" s="4"/>
      <c r="B158" s="4"/>
      <c r="C158" s="4"/>
      <c r="D158" s="4"/>
      <c r="E158" s="4"/>
      <c r="F158" s="4" t="s">
        <v>287</v>
      </c>
      <c r="G158" s="9">
        <v>0</v>
      </c>
      <c r="H158" s="6"/>
      <c r="I158" s="9">
        <v>0</v>
      </c>
      <c r="J158" s="6"/>
      <c r="K158" s="9">
        <v>0</v>
      </c>
      <c r="L158" s="6"/>
      <c r="M158" s="9">
        <v>0</v>
      </c>
      <c r="N158" s="6"/>
      <c r="O158" s="9">
        <v>0</v>
      </c>
      <c r="P158" s="6"/>
      <c r="Q158" s="9">
        <v>0</v>
      </c>
      <c r="R158" s="6"/>
      <c r="S158" s="9">
        <v>0</v>
      </c>
      <c r="T158" s="6"/>
      <c r="U158" s="9">
        <v>0</v>
      </c>
      <c r="V158" s="6"/>
      <c r="W158" s="9">
        <v>0</v>
      </c>
      <c r="X158" s="6"/>
      <c r="Y158" s="9">
        <v>119.39</v>
      </c>
      <c r="Z158" s="6"/>
      <c r="AA158" s="9">
        <v>0</v>
      </c>
      <c r="AB158" s="6"/>
      <c r="AC158" s="9">
        <v>0</v>
      </c>
      <c r="AD158" s="6"/>
      <c r="AE158" s="9">
        <v>0</v>
      </c>
      <c r="AF158" s="6"/>
      <c r="AG158" s="9">
        <v>0</v>
      </c>
      <c r="AH158" s="6"/>
      <c r="AI158" s="9">
        <v>0</v>
      </c>
      <c r="AJ158" s="6"/>
      <c r="AK158" s="9">
        <v>0</v>
      </c>
      <c r="AL158" s="6"/>
      <c r="AM158" s="9">
        <v>0</v>
      </c>
      <c r="AN158" s="6"/>
      <c r="AO158" s="9">
        <v>0</v>
      </c>
      <c r="AP158" s="6"/>
      <c r="AQ158" s="9">
        <v>0</v>
      </c>
      <c r="AR158" s="6"/>
      <c r="AS158" s="9">
        <v>0</v>
      </c>
      <c r="AT158" s="6"/>
      <c r="AU158" s="9">
        <v>0</v>
      </c>
      <c r="AV158" s="6"/>
      <c r="AW158" s="9">
        <f>ROUND(SUM(G158:AU158),5)</f>
        <v>119.39</v>
      </c>
    </row>
    <row r="159" spans="1:49">
      <c r="A159" s="4"/>
      <c r="B159" s="4"/>
      <c r="C159" s="4"/>
      <c r="D159" s="4"/>
      <c r="E159" s="4" t="s">
        <v>288</v>
      </c>
      <c r="F159" s="4"/>
      <c r="G159" s="7">
        <f>ROUND(SUM(G152:G158),5)</f>
        <v>0</v>
      </c>
      <c r="H159" s="6"/>
      <c r="I159" s="7">
        <f>ROUND(SUM(I152:I158),5)</f>
        <v>0</v>
      </c>
      <c r="J159" s="6"/>
      <c r="K159" s="7">
        <f>ROUND(SUM(K152:K158),5)</f>
        <v>0</v>
      </c>
      <c r="L159" s="6"/>
      <c r="M159" s="7">
        <f>ROUND(SUM(M152:M158),5)</f>
        <v>0</v>
      </c>
      <c r="N159" s="6"/>
      <c r="O159" s="7">
        <f>ROUND(SUM(O152:O158),5)</f>
        <v>0</v>
      </c>
      <c r="P159" s="6"/>
      <c r="Q159" s="7">
        <f>ROUND(SUM(Q152:Q158),5)</f>
        <v>0</v>
      </c>
      <c r="R159" s="6"/>
      <c r="S159" s="7">
        <f>ROUND(SUM(S152:S158),5)</f>
        <v>0</v>
      </c>
      <c r="T159" s="6"/>
      <c r="U159" s="7">
        <f>ROUND(SUM(U152:U158),5)</f>
        <v>0</v>
      </c>
      <c r="V159" s="6"/>
      <c r="W159" s="7">
        <f>ROUND(SUM(W152:W158),5)</f>
        <v>0</v>
      </c>
      <c r="X159" s="6"/>
      <c r="Y159" s="7">
        <f>ROUND(SUM(Y152:Y158),5)</f>
        <v>118530.85</v>
      </c>
      <c r="Z159" s="6"/>
      <c r="AA159" s="7">
        <f>ROUND(SUM(AA152:AA158),5)</f>
        <v>5769.58</v>
      </c>
      <c r="AB159" s="6"/>
      <c r="AC159" s="7">
        <f>ROUND(SUM(AC152:AC158),5)</f>
        <v>0</v>
      </c>
      <c r="AD159" s="6"/>
      <c r="AE159" s="7">
        <f>ROUND(SUM(AE152:AE158),5)</f>
        <v>0</v>
      </c>
      <c r="AF159" s="6"/>
      <c r="AG159" s="7">
        <f>ROUND(SUM(AG152:AG158),5)</f>
        <v>0</v>
      </c>
      <c r="AH159" s="6"/>
      <c r="AI159" s="7">
        <f>ROUND(SUM(AI152:AI158),5)</f>
        <v>0</v>
      </c>
      <c r="AJ159" s="6"/>
      <c r="AK159" s="7">
        <f>ROUND(SUM(AK152:AK158),5)</f>
        <v>0</v>
      </c>
      <c r="AL159" s="6"/>
      <c r="AM159" s="7">
        <f>ROUND(SUM(AM152:AM158),5)</f>
        <v>0</v>
      </c>
      <c r="AN159" s="6"/>
      <c r="AO159" s="7">
        <f>ROUND(SUM(AO152:AO158),5)</f>
        <v>0</v>
      </c>
      <c r="AP159" s="6"/>
      <c r="AQ159" s="7">
        <f>ROUND(SUM(AQ152:AQ158),5)</f>
        <v>0</v>
      </c>
      <c r="AR159" s="6"/>
      <c r="AS159" s="7">
        <f>ROUND(SUM(AS152:AS158),5)</f>
        <v>0</v>
      </c>
      <c r="AT159" s="6"/>
      <c r="AU159" s="7">
        <f>ROUND(SUM(AU152:AU158),5)</f>
        <v>0</v>
      </c>
      <c r="AV159" s="6"/>
      <c r="AW159" s="7">
        <f>ROUND(SUM(G159:AU159),5)</f>
        <v>124300.43</v>
      </c>
    </row>
    <row r="160" spans="1:49">
      <c r="A160" s="4"/>
      <c r="B160" s="4"/>
      <c r="C160" s="4"/>
      <c r="D160" s="4"/>
      <c r="E160" s="4" t="s">
        <v>289</v>
      </c>
      <c r="F160" s="4"/>
      <c r="G160" s="7"/>
      <c r="H160" s="6"/>
      <c r="I160" s="7"/>
      <c r="J160" s="6"/>
      <c r="K160" s="7"/>
      <c r="L160" s="6"/>
      <c r="M160" s="7"/>
      <c r="N160" s="6"/>
      <c r="O160" s="7"/>
      <c r="P160" s="6"/>
      <c r="Q160" s="7"/>
      <c r="R160" s="6"/>
      <c r="S160" s="7"/>
      <c r="T160" s="6"/>
      <c r="U160" s="7"/>
      <c r="V160" s="6"/>
      <c r="W160" s="7"/>
      <c r="X160" s="6"/>
      <c r="Y160" s="7"/>
      <c r="Z160" s="6"/>
      <c r="AA160" s="7"/>
      <c r="AB160" s="6"/>
      <c r="AC160" s="7"/>
      <c r="AD160" s="6"/>
      <c r="AE160" s="7"/>
      <c r="AF160" s="6"/>
      <c r="AG160" s="7"/>
      <c r="AH160" s="6"/>
      <c r="AI160" s="7"/>
      <c r="AJ160" s="6"/>
      <c r="AK160" s="7"/>
      <c r="AL160" s="6"/>
      <c r="AM160" s="7"/>
      <c r="AN160" s="6"/>
      <c r="AO160" s="7"/>
      <c r="AP160" s="6"/>
      <c r="AQ160" s="7"/>
      <c r="AR160" s="6"/>
      <c r="AS160" s="7"/>
      <c r="AT160" s="6"/>
      <c r="AU160" s="7"/>
      <c r="AV160" s="6"/>
      <c r="AW160" s="7"/>
    </row>
    <row r="161" spans="1:49">
      <c r="A161" s="4"/>
      <c r="B161" s="4"/>
      <c r="C161" s="4"/>
      <c r="D161" s="4"/>
      <c r="E161" s="4"/>
      <c r="F161" s="4" t="s">
        <v>290</v>
      </c>
      <c r="G161" s="7">
        <v>0</v>
      </c>
      <c r="H161" s="6"/>
      <c r="I161" s="7">
        <v>0</v>
      </c>
      <c r="J161" s="6"/>
      <c r="K161" s="7">
        <v>0</v>
      </c>
      <c r="L161" s="6"/>
      <c r="M161" s="7">
        <v>0</v>
      </c>
      <c r="N161" s="6"/>
      <c r="O161" s="7">
        <v>0</v>
      </c>
      <c r="P161" s="6"/>
      <c r="Q161" s="7">
        <v>0</v>
      </c>
      <c r="R161" s="6"/>
      <c r="S161" s="7">
        <v>0</v>
      </c>
      <c r="T161" s="6"/>
      <c r="U161" s="7">
        <v>0</v>
      </c>
      <c r="V161" s="6"/>
      <c r="W161" s="7">
        <v>0</v>
      </c>
      <c r="X161" s="6"/>
      <c r="Y161" s="7">
        <v>6614.08</v>
      </c>
      <c r="Z161" s="6"/>
      <c r="AA161" s="7">
        <v>0</v>
      </c>
      <c r="AB161" s="6"/>
      <c r="AC161" s="7">
        <v>0</v>
      </c>
      <c r="AD161" s="6"/>
      <c r="AE161" s="7">
        <v>0</v>
      </c>
      <c r="AF161" s="6"/>
      <c r="AG161" s="7">
        <v>0</v>
      </c>
      <c r="AH161" s="6"/>
      <c r="AI161" s="7">
        <v>0</v>
      </c>
      <c r="AJ161" s="6"/>
      <c r="AK161" s="7">
        <v>0</v>
      </c>
      <c r="AL161" s="6"/>
      <c r="AM161" s="7">
        <v>0</v>
      </c>
      <c r="AN161" s="6"/>
      <c r="AO161" s="7">
        <v>0</v>
      </c>
      <c r="AP161" s="6"/>
      <c r="AQ161" s="7">
        <v>0</v>
      </c>
      <c r="AR161" s="6"/>
      <c r="AS161" s="7">
        <v>0</v>
      </c>
      <c r="AT161" s="6"/>
      <c r="AU161" s="7">
        <v>0</v>
      </c>
      <c r="AV161" s="6"/>
      <c r="AW161" s="7">
        <f>ROUND(SUM(G161:AU161),5)</f>
        <v>6614.08</v>
      </c>
    </row>
    <row r="162" spans="1:49">
      <c r="A162" s="4"/>
      <c r="B162" s="4"/>
      <c r="C162" s="4"/>
      <c r="D162" s="4"/>
      <c r="E162" s="4"/>
      <c r="F162" s="4" t="s">
        <v>291</v>
      </c>
      <c r="G162" s="7">
        <v>0</v>
      </c>
      <c r="H162" s="6"/>
      <c r="I162" s="7">
        <v>0</v>
      </c>
      <c r="J162" s="6"/>
      <c r="K162" s="7">
        <v>0</v>
      </c>
      <c r="L162" s="6"/>
      <c r="M162" s="7">
        <v>0</v>
      </c>
      <c r="N162" s="6"/>
      <c r="O162" s="7">
        <v>0</v>
      </c>
      <c r="P162" s="6"/>
      <c r="Q162" s="7">
        <v>0</v>
      </c>
      <c r="R162" s="6"/>
      <c r="S162" s="7">
        <v>0</v>
      </c>
      <c r="T162" s="6"/>
      <c r="U162" s="7">
        <v>0</v>
      </c>
      <c r="V162" s="6"/>
      <c r="W162" s="7">
        <v>0</v>
      </c>
      <c r="X162" s="6"/>
      <c r="Y162" s="7">
        <v>0</v>
      </c>
      <c r="Z162" s="6"/>
      <c r="AA162" s="7">
        <v>2000</v>
      </c>
      <c r="AB162" s="6"/>
      <c r="AC162" s="7">
        <v>0</v>
      </c>
      <c r="AD162" s="6"/>
      <c r="AE162" s="7">
        <v>0</v>
      </c>
      <c r="AF162" s="6"/>
      <c r="AG162" s="7">
        <v>0</v>
      </c>
      <c r="AH162" s="6"/>
      <c r="AI162" s="7">
        <v>0</v>
      </c>
      <c r="AJ162" s="6"/>
      <c r="AK162" s="7">
        <v>0</v>
      </c>
      <c r="AL162" s="6"/>
      <c r="AM162" s="7">
        <v>0</v>
      </c>
      <c r="AN162" s="6"/>
      <c r="AO162" s="7">
        <v>0</v>
      </c>
      <c r="AP162" s="6"/>
      <c r="AQ162" s="7">
        <v>0</v>
      </c>
      <c r="AR162" s="6"/>
      <c r="AS162" s="7">
        <v>0</v>
      </c>
      <c r="AT162" s="6"/>
      <c r="AU162" s="7">
        <v>0</v>
      </c>
      <c r="AV162" s="6"/>
      <c r="AW162" s="7">
        <f>ROUND(SUM(G162:AU162),5)</f>
        <v>2000</v>
      </c>
    </row>
    <row r="163" spans="1:49">
      <c r="A163" s="4"/>
      <c r="B163" s="4"/>
      <c r="C163" s="4"/>
      <c r="D163" s="4"/>
      <c r="E163" s="4"/>
      <c r="F163" s="4" t="s">
        <v>293</v>
      </c>
      <c r="G163" s="7">
        <v>0</v>
      </c>
      <c r="H163" s="6"/>
      <c r="I163" s="7">
        <v>0</v>
      </c>
      <c r="J163" s="6"/>
      <c r="K163" s="7">
        <v>0</v>
      </c>
      <c r="L163" s="6"/>
      <c r="M163" s="7">
        <v>0</v>
      </c>
      <c r="N163" s="6"/>
      <c r="O163" s="7">
        <v>0</v>
      </c>
      <c r="P163" s="6"/>
      <c r="Q163" s="7">
        <v>0</v>
      </c>
      <c r="R163" s="6"/>
      <c r="S163" s="7">
        <v>0</v>
      </c>
      <c r="T163" s="6"/>
      <c r="U163" s="7">
        <v>0</v>
      </c>
      <c r="V163" s="6"/>
      <c r="W163" s="7">
        <v>0</v>
      </c>
      <c r="X163" s="6"/>
      <c r="Y163" s="7">
        <v>503.47</v>
      </c>
      <c r="Z163" s="6"/>
      <c r="AA163" s="7">
        <v>153</v>
      </c>
      <c r="AB163" s="6"/>
      <c r="AC163" s="7">
        <v>0</v>
      </c>
      <c r="AD163" s="6"/>
      <c r="AE163" s="7">
        <v>0</v>
      </c>
      <c r="AF163" s="6"/>
      <c r="AG163" s="7">
        <v>0</v>
      </c>
      <c r="AH163" s="6"/>
      <c r="AI163" s="7">
        <v>0</v>
      </c>
      <c r="AJ163" s="6"/>
      <c r="AK163" s="7">
        <v>0</v>
      </c>
      <c r="AL163" s="6"/>
      <c r="AM163" s="7">
        <v>0</v>
      </c>
      <c r="AN163" s="6"/>
      <c r="AO163" s="7">
        <v>0</v>
      </c>
      <c r="AP163" s="6"/>
      <c r="AQ163" s="7">
        <v>0</v>
      </c>
      <c r="AR163" s="6"/>
      <c r="AS163" s="7">
        <v>0</v>
      </c>
      <c r="AT163" s="6"/>
      <c r="AU163" s="7">
        <v>0</v>
      </c>
      <c r="AV163" s="6"/>
      <c r="AW163" s="7">
        <f>ROUND(SUM(G163:AU163),5)</f>
        <v>656.47</v>
      </c>
    </row>
    <row r="164" spans="1:49">
      <c r="A164" s="4"/>
      <c r="B164" s="4"/>
      <c r="C164" s="4"/>
      <c r="D164" s="4"/>
      <c r="E164" s="4"/>
      <c r="F164" s="4" t="s">
        <v>294</v>
      </c>
      <c r="G164" s="7">
        <v>0</v>
      </c>
      <c r="H164" s="6"/>
      <c r="I164" s="7">
        <v>0</v>
      </c>
      <c r="J164" s="6"/>
      <c r="K164" s="7">
        <v>0</v>
      </c>
      <c r="L164" s="6"/>
      <c r="M164" s="7">
        <v>0</v>
      </c>
      <c r="N164" s="6"/>
      <c r="O164" s="7">
        <v>0</v>
      </c>
      <c r="P164" s="6"/>
      <c r="Q164" s="7">
        <v>0</v>
      </c>
      <c r="R164" s="6"/>
      <c r="S164" s="7">
        <v>0</v>
      </c>
      <c r="T164" s="6"/>
      <c r="U164" s="7">
        <v>0</v>
      </c>
      <c r="V164" s="6"/>
      <c r="W164" s="7">
        <v>0</v>
      </c>
      <c r="X164" s="6"/>
      <c r="Y164" s="7">
        <v>38.67</v>
      </c>
      <c r="Z164" s="6"/>
      <c r="AA164" s="7">
        <v>0</v>
      </c>
      <c r="AB164" s="6"/>
      <c r="AC164" s="7">
        <v>0</v>
      </c>
      <c r="AD164" s="6"/>
      <c r="AE164" s="7">
        <v>0</v>
      </c>
      <c r="AF164" s="6"/>
      <c r="AG164" s="7">
        <v>0</v>
      </c>
      <c r="AH164" s="6"/>
      <c r="AI164" s="7">
        <v>0</v>
      </c>
      <c r="AJ164" s="6"/>
      <c r="AK164" s="7">
        <v>0</v>
      </c>
      <c r="AL164" s="6"/>
      <c r="AM164" s="7">
        <v>0</v>
      </c>
      <c r="AN164" s="6"/>
      <c r="AO164" s="7">
        <v>0</v>
      </c>
      <c r="AP164" s="6"/>
      <c r="AQ164" s="7">
        <v>0</v>
      </c>
      <c r="AR164" s="6"/>
      <c r="AS164" s="7">
        <v>0</v>
      </c>
      <c r="AT164" s="6"/>
      <c r="AU164" s="7">
        <v>0</v>
      </c>
      <c r="AV164" s="6"/>
      <c r="AW164" s="7">
        <f>ROUND(SUM(G164:AU164),5)</f>
        <v>38.67</v>
      </c>
    </row>
    <row r="165" spans="1:49" ht="15.75" thickBot="1">
      <c r="A165" s="4"/>
      <c r="B165" s="4"/>
      <c r="C165" s="4"/>
      <c r="D165" s="4"/>
      <c r="E165" s="4"/>
      <c r="F165" s="4" t="s">
        <v>296</v>
      </c>
      <c r="G165" s="9">
        <v>0</v>
      </c>
      <c r="H165" s="6"/>
      <c r="I165" s="9">
        <v>0</v>
      </c>
      <c r="J165" s="6"/>
      <c r="K165" s="9">
        <v>0</v>
      </c>
      <c r="L165" s="6"/>
      <c r="M165" s="9">
        <v>0</v>
      </c>
      <c r="N165" s="6"/>
      <c r="O165" s="9">
        <v>0</v>
      </c>
      <c r="P165" s="6"/>
      <c r="Q165" s="9">
        <v>0</v>
      </c>
      <c r="R165" s="6"/>
      <c r="S165" s="9">
        <v>0</v>
      </c>
      <c r="T165" s="6"/>
      <c r="U165" s="9">
        <v>0</v>
      </c>
      <c r="V165" s="6"/>
      <c r="W165" s="9">
        <v>0</v>
      </c>
      <c r="X165" s="6"/>
      <c r="Y165" s="9">
        <v>1302</v>
      </c>
      <c r="Z165" s="6"/>
      <c r="AA165" s="9">
        <v>0</v>
      </c>
      <c r="AB165" s="6"/>
      <c r="AC165" s="9">
        <v>0</v>
      </c>
      <c r="AD165" s="6"/>
      <c r="AE165" s="9">
        <v>0</v>
      </c>
      <c r="AF165" s="6"/>
      <c r="AG165" s="9">
        <v>0</v>
      </c>
      <c r="AH165" s="6"/>
      <c r="AI165" s="9">
        <v>0</v>
      </c>
      <c r="AJ165" s="6"/>
      <c r="AK165" s="9">
        <v>0</v>
      </c>
      <c r="AL165" s="6"/>
      <c r="AM165" s="9">
        <v>0</v>
      </c>
      <c r="AN165" s="6"/>
      <c r="AO165" s="9">
        <v>0</v>
      </c>
      <c r="AP165" s="6"/>
      <c r="AQ165" s="9">
        <v>0</v>
      </c>
      <c r="AR165" s="6"/>
      <c r="AS165" s="9">
        <v>0</v>
      </c>
      <c r="AT165" s="6"/>
      <c r="AU165" s="9">
        <v>0</v>
      </c>
      <c r="AV165" s="6"/>
      <c r="AW165" s="9">
        <f>ROUND(SUM(G165:AU165),5)</f>
        <v>1302</v>
      </c>
    </row>
    <row r="166" spans="1:49">
      <c r="A166" s="4"/>
      <c r="B166" s="4"/>
      <c r="C166" s="4"/>
      <c r="D166" s="4"/>
      <c r="E166" s="4" t="s">
        <v>298</v>
      </c>
      <c r="F166" s="4"/>
      <c r="G166" s="7">
        <f>ROUND(SUM(G160:G165),5)</f>
        <v>0</v>
      </c>
      <c r="H166" s="6"/>
      <c r="I166" s="7">
        <f>ROUND(SUM(I160:I165),5)</f>
        <v>0</v>
      </c>
      <c r="J166" s="6"/>
      <c r="K166" s="7">
        <f>ROUND(SUM(K160:K165),5)</f>
        <v>0</v>
      </c>
      <c r="L166" s="6"/>
      <c r="M166" s="7">
        <f>ROUND(SUM(M160:M165),5)</f>
        <v>0</v>
      </c>
      <c r="N166" s="6"/>
      <c r="O166" s="7">
        <f>ROUND(SUM(O160:O165),5)</f>
        <v>0</v>
      </c>
      <c r="P166" s="6"/>
      <c r="Q166" s="7">
        <f>ROUND(SUM(Q160:Q165),5)</f>
        <v>0</v>
      </c>
      <c r="R166" s="6"/>
      <c r="S166" s="7">
        <f>ROUND(SUM(S160:S165),5)</f>
        <v>0</v>
      </c>
      <c r="T166" s="6"/>
      <c r="U166" s="7">
        <f>ROUND(SUM(U160:U165),5)</f>
        <v>0</v>
      </c>
      <c r="V166" s="6"/>
      <c r="W166" s="7">
        <f>ROUND(SUM(W160:W165),5)</f>
        <v>0</v>
      </c>
      <c r="X166" s="6"/>
      <c r="Y166" s="7">
        <f>ROUND(SUM(Y160:Y165),5)</f>
        <v>8458.2199999999993</v>
      </c>
      <c r="Z166" s="6"/>
      <c r="AA166" s="7">
        <f>ROUND(SUM(AA160:AA165),5)</f>
        <v>2153</v>
      </c>
      <c r="AB166" s="6"/>
      <c r="AC166" s="7">
        <f>ROUND(SUM(AC160:AC165),5)</f>
        <v>0</v>
      </c>
      <c r="AD166" s="6"/>
      <c r="AE166" s="7">
        <f>ROUND(SUM(AE160:AE165),5)</f>
        <v>0</v>
      </c>
      <c r="AF166" s="6"/>
      <c r="AG166" s="7">
        <f>ROUND(SUM(AG160:AG165),5)</f>
        <v>0</v>
      </c>
      <c r="AH166" s="6"/>
      <c r="AI166" s="7">
        <f>ROUND(SUM(AI160:AI165),5)</f>
        <v>0</v>
      </c>
      <c r="AJ166" s="6"/>
      <c r="AK166" s="7">
        <f>ROUND(SUM(AK160:AK165),5)</f>
        <v>0</v>
      </c>
      <c r="AL166" s="6"/>
      <c r="AM166" s="7">
        <f>ROUND(SUM(AM160:AM165),5)</f>
        <v>0</v>
      </c>
      <c r="AN166" s="6"/>
      <c r="AO166" s="7">
        <f>ROUND(SUM(AO160:AO165),5)</f>
        <v>0</v>
      </c>
      <c r="AP166" s="6"/>
      <c r="AQ166" s="7">
        <f>ROUND(SUM(AQ160:AQ165),5)</f>
        <v>0</v>
      </c>
      <c r="AR166" s="6"/>
      <c r="AS166" s="7">
        <f>ROUND(SUM(AS160:AS165),5)</f>
        <v>0</v>
      </c>
      <c r="AT166" s="6"/>
      <c r="AU166" s="7">
        <f>ROUND(SUM(AU160:AU165),5)</f>
        <v>0</v>
      </c>
      <c r="AV166" s="6"/>
      <c r="AW166" s="7">
        <f>ROUND(SUM(G166:AU166),5)</f>
        <v>10611.22</v>
      </c>
    </row>
    <row r="167" spans="1:49">
      <c r="A167" s="4"/>
      <c r="B167" s="4"/>
      <c r="C167" s="4"/>
      <c r="D167" s="4"/>
      <c r="E167" s="4" t="s">
        <v>299</v>
      </c>
      <c r="F167" s="4"/>
      <c r="G167" s="7"/>
      <c r="H167" s="6"/>
      <c r="I167" s="7"/>
      <c r="J167" s="6"/>
      <c r="K167" s="7"/>
      <c r="L167" s="6"/>
      <c r="M167" s="7"/>
      <c r="N167" s="6"/>
      <c r="O167" s="7"/>
      <c r="P167" s="6"/>
      <c r="Q167" s="7"/>
      <c r="R167" s="6"/>
      <c r="S167" s="7"/>
      <c r="T167" s="6"/>
      <c r="U167" s="7"/>
      <c r="V167" s="6"/>
      <c r="W167" s="7"/>
      <c r="X167" s="6"/>
      <c r="Y167" s="7"/>
      <c r="Z167" s="6"/>
      <c r="AA167" s="7"/>
      <c r="AB167" s="6"/>
      <c r="AC167" s="7"/>
      <c r="AD167" s="6"/>
      <c r="AE167" s="7"/>
      <c r="AF167" s="6"/>
      <c r="AG167" s="7"/>
      <c r="AH167" s="6"/>
      <c r="AI167" s="7"/>
      <c r="AJ167" s="6"/>
      <c r="AK167" s="7"/>
      <c r="AL167" s="6"/>
      <c r="AM167" s="7"/>
      <c r="AN167" s="6"/>
      <c r="AO167" s="7"/>
      <c r="AP167" s="6"/>
      <c r="AQ167" s="7"/>
      <c r="AR167" s="6"/>
      <c r="AS167" s="7"/>
      <c r="AT167" s="6"/>
      <c r="AU167" s="7"/>
      <c r="AV167" s="6"/>
      <c r="AW167" s="7"/>
    </row>
    <row r="168" spans="1:49" ht="15.75" thickBot="1">
      <c r="A168" s="4"/>
      <c r="B168" s="4"/>
      <c r="C168" s="4"/>
      <c r="D168" s="4"/>
      <c r="E168" s="4"/>
      <c r="F168" s="4" t="s">
        <v>300</v>
      </c>
      <c r="G168" s="9">
        <v>0</v>
      </c>
      <c r="H168" s="6"/>
      <c r="I168" s="9">
        <v>0</v>
      </c>
      <c r="J168" s="6"/>
      <c r="K168" s="9">
        <v>0</v>
      </c>
      <c r="L168" s="6"/>
      <c r="M168" s="9">
        <v>0</v>
      </c>
      <c r="N168" s="6"/>
      <c r="O168" s="9">
        <v>0</v>
      </c>
      <c r="P168" s="6"/>
      <c r="Q168" s="9">
        <v>0</v>
      </c>
      <c r="R168" s="6"/>
      <c r="S168" s="9">
        <v>0</v>
      </c>
      <c r="T168" s="6"/>
      <c r="U168" s="9">
        <v>0</v>
      </c>
      <c r="V168" s="6"/>
      <c r="W168" s="9">
        <v>0</v>
      </c>
      <c r="X168" s="6"/>
      <c r="Y168" s="9">
        <v>33211.699999999997</v>
      </c>
      <c r="Z168" s="6"/>
      <c r="AA168" s="9">
        <v>0</v>
      </c>
      <c r="AB168" s="6"/>
      <c r="AC168" s="9">
        <v>12174.58</v>
      </c>
      <c r="AD168" s="6"/>
      <c r="AE168" s="9">
        <v>0</v>
      </c>
      <c r="AF168" s="6"/>
      <c r="AG168" s="9">
        <v>0</v>
      </c>
      <c r="AH168" s="6"/>
      <c r="AI168" s="9">
        <v>0</v>
      </c>
      <c r="AJ168" s="6"/>
      <c r="AK168" s="9">
        <v>0</v>
      </c>
      <c r="AL168" s="6"/>
      <c r="AM168" s="9">
        <v>0</v>
      </c>
      <c r="AN168" s="6"/>
      <c r="AO168" s="9">
        <v>0</v>
      </c>
      <c r="AP168" s="6"/>
      <c r="AQ168" s="9">
        <v>0</v>
      </c>
      <c r="AR168" s="6"/>
      <c r="AS168" s="9">
        <v>0</v>
      </c>
      <c r="AT168" s="6"/>
      <c r="AU168" s="9">
        <v>0</v>
      </c>
      <c r="AV168" s="6"/>
      <c r="AW168" s="9">
        <f>ROUND(SUM(G168:AU168),5)</f>
        <v>45386.28</v>
      </c>
    </row>
    <row r="169" spans="1:49">
      <c r="A169" s="4"/>
      <c r="B169" s="4"/>
      <c r="C169" s="4"/>
      <c r="D169" s="4"/>
      <c r="E169" s="4" t="s">
        <v>301</v>
      </c>
      <c r="F169" s="4"/>
      <c r="G169" s="7">
        <f>ROUND(SUM(G167:G168),5)</f>
        <v>0</v>
      </c>
      <c r="H169" s="6"/>
      <c r="I169" s="7">
        <f>ROUND(SUM(I167:I168),5)</f>
        <v>0</v>
      </c>
      <c r="J169" s="6"/>
      <c r="K169" s="7">
        <f>ROUND(SUM(K167:K168),5)</f>
        <v>0</v>
      </c>
      <c r="L169" s="6"/>
      <c r="M169" s="7">
        <f>ROUND(SUM(M167:M168),5)</f>
        <v>0</v>
      </c>
      <c r="N169" s="6"/>
      <c r="O169" s="7">
        <f>ROUND(SUM(O167:O168),5)</f>
        <v>0</v>
      </c>
      <c r="P169" s="6"/>
      <c r="Q169" s="7">
        <f>ROUND(SUM(Q167:Q168),5)</f>
        <v>0</v>
      </c>
      <c r="R169" s="6"/>
      <c r="S169" s="7">
        <f>ROUND(SUM(S167:S168),5)</f>
        <v>0</v>
      </c>
      <c r="T169" s="6"/>
      <c r="U169" s="7">
        <f>ROUND(SUM(U167:U168),5)</f>
        <v>0</v>
      </c>
      <c r="V169" s="6"/>
      <c r="W169" s="7">
        <f>ROUND(SUM(W167:W168),5)</f>
        <v>0</v>
      </c>
      <c r="X169" s="6"/>
      <c r="Y169" s="7">
        <f>ROUND(SUM(Y167:Y168),5)</f>
        <v>33211.699999999997</v>
      </c>
      <c r="Z169" s="6"/>
      <c r="AA169" s="7">
        <f>ROUND(SUM(AA167:AA168),5)</f>
        <v>0</v>
      </c>
      <c r="AB169" s="6"/>
      <c r="AC169" s="7">
        <f>ROUND(SUM(AC167:AC168),5)</f>
        <v>12174.58</v>
      </c>
      <c r="AD169" s="6"/>
      <c r="AE169" s="7">
        <f>ROUND(SUM(AE167:AE168),5)</f>
        <v>0</v>
      </c>
      <c r="AF169" s="6"/>
      <c r="AG169" s="7">
        <f>ROUND(SUM(AG167:AG168),5)</f>
        <v>0</v>
      </c>
      <c r="AH169" s="6"/>
      <c r="AI169" s="7">
        <f>ROUND(SUM(AI167:AI168),5)</f>
        <v>0</v>
      </c>
      <c r="AJ169" s="6"/>
      <c r="AK169" s="7">
        <f>ROUND(SUM(AK167:AK168),5)</f>
        <v>0</v>
      </c>
      <c r="AL169" s="6"/>
      <c r="AM169" s="7">
        <f>ROUND(SUM(AM167:AM168),5)</f>
        <v>0</v>
      </c>
      <c r="AN169" s="6"/>
      <c r="AO169" s="7">
        <f>ROUND(SUM(AO167:AO168),5)</f>
        <v>0</v>
      </c>
      <c r="AP169" s="6"/>
      <c r="AQ169" s="7">
        <f>ROUND(SUM(AQ167:AQ168),5)</f>
        <v>0</v>
      </c>
      <c r="AR169" s="6"/>
      <c r="AS169" s="7">
        <f>ROUND(SUM(AS167:AS168),5)</f>
        <v>0</v>
      </c>
      <c r="AT169" s="6"/>
      <c r="AU169" s="7">
        <f>ROUND(SUM(AU167:AU168),5)</f>
        <v>0</v>
      </c>
      <c r="AV169" s="6"/>
      <c r="AW169" s="7">
        <f>ROUND(SUM(G169:AU169),5)</f>
        <v>45386.28</v>
      </c>
    </row>
    <row r="170" spans="1:49">
      <c r="A170" s="4"/>
      <c r="B170" s="4"/>
      <c r="C170" s="4"/>
      <c r="D170" s="4"/>
      <c r="E170" s="4" t="s">
        <v>302</v>
      </c>
      <c r="F170" s="4"/>
      <c r="G170" s="7"/>
      <c r="H170" s="6"/>
      <c r="I170" s="7"/>
      <c r="J170" s="6"/>
      <c r="K170" s="7"/>
      <c r="L170" s="6"/>
      <c r="M170" s="7"/>
      <c r="N170" s="6"/>
      <c r="O170" s="7"/>
      <c r="P170" s="6"/>
      <c r="Q170" s="7"/>
      <c r="R170" s="6"/>
      <c r="S170" s="7"/>
      <c r="T170" s="6"/>
      <c r="U170" s="7"/>
      <c r="V170" s="6"/>
      <c r="W170" s="7"/>
      <c r="X170" s="6"/>
      <c r="Y170" s="7"/>
      <c r="Z170" s="6"/>
      <c r="AA170" s="7"/>
      <c r="AB170" s="6"/>
      <c r="AC170" s="7"/>
      <c r="AD170" s="6"/>
      <c r="AE170" s="7"/>
      <c r="AF170" s="6"/>
      <c r="AG170" s="7"/>
      <c r="AH170" s="6"/>
      <c r="AI170" s="7"/>
      <c r="AJ170" s="6"/>
      <c r="AK170" s="7"/>
      <c r="AL170" s="6"/>
      <c r="AM170" s="7"/>
      <c r="AN170" s="6"/>
      <c r="AO170" s="7"/>
      <c r="AP170" s="6"/>
      <c r="AQ170" s="7"/>
      <c r="AR170" s="6"/>
      <c r="AS170" s="7"/>
      <c r="AT170" s="6"/>
      <c r="AU170" s="7"/>
      <c r="AV170" s="6"/>
      <c r="AW170" s="7"/>
    </row>
    <row r="171" spans="1:49" ht="15.75" thickBot="1">
      <c r="A171" s="4"/>
      <c r="B171" s="4"/>
      <c r="C171" s="4"/>
      <c r="D171" s="4"/>
      <c r="E171" s="4"/>
      <c r="F171" s="4" t="s">
        <v>303</v>
      </c>
      <c r="G171" s="9">
        <v>0</v>
      </c>
      <c r="H171" s="6"/>
      <c r="I171" s="9">
        <v>0</v>
      </c>
      <c r="J171" s="6"/>
      <c r="K171" s="9">
        <v>0</v>
      </c>
      <c r="L171" s="6"/>
      <c r="M171" s="9">
        <v>0</v>
      </c>
      <c r="N171" s="6"/>
      <c r="O171" s="9">
        <v>0</v>
      </c>
      <c r="P171" s="6"/>
      <c r="Q171" s="9">
        <v>0</v>
      </c>
      <c r="R171" s="6"/>
      <c r="S171" s="9">
        <v>0</v>
      </c>
      <c r="T171" s="6"/>
      <c r="U171" s="9">
        <v>0</v>
      </c>
      <c r="V171" s="6"/>
      <c r="W171" s="9">
        <v>0</v>
      </c>
      <c r="X171" s="6"/>
      <c r="Y171" s="9">
        <v>2317.67</v>
      </c>
      <c r="Z171" s="6"/>
      <c r="AA171" s="9">
        <v>0</v>
      </c>
      <c r="AB171" s="6"/>
      <c r="AC171" s="9">
        <v>0</v>
      </c>
      <c r="AD171" s="6"/>
      <c r="AE171" s="9">
        <v>0</v>
      </c>
      <c r="AF171" s="6"/>
      <c r="AG171" s="9">
        <v>0</v>
      </c>
      <c r="AH171" s="6"/>
      <c r="AI171" s="9">
        <v>0</v>
      </c>
      <c r="AJ171" s="6"/>
      <c r="AK171" s="9">
        <v>0</v>
      </c>
      <c r="AL171" s="6"/>
      <c r="AM171" s="9">
        <v>0</v>
      </c>
      <c r="AN171" s="6"/>
      <c r="AO171" s="9">
        <v>0</v>
      </c>
      <c r="AP171" s="6"/>
      <c r="AQ171" s="9">
        <v>0</v>
      </c>
      <c r="AR171" s="6"/>
      <c r="AS171" s="9">
        <v>0</v>
      </c>
      <c r="AT171" s="6"/>
      <c r="AU171" s="9">
        <v>0</v>
      </c>
      <c r="AV171" s="6"/>
      <c r="AW171" s="9">
        <f>ROUND(SUM(G171:AU171),5)</f>
        <v>2317.67</v>
      </c>
    </row>
    <row r="172" spans="1:49">
      <c r="A172" s="4"/>
      <c r="B172" s="4"/>
      <c r="C172" s="4"/>
      <c r="D172" s="4"/>
      <c r="E172" s="4" t="s">
        <v>304</v>
      </c>
      <c r="F172" s="4"/>
      <c r="G172" s="7">
        <f>ROUND(SUM(G170:G171),5)</f>
        <v>0</v>
      </c>
      <c r="H172" s="6"/>
      <c r="I172" s="7">
        <f>ROUND(SUM(I170:I171),5)</f>
        <v>0</v>
      </c>
      <c r="J172" s="6"/>
      <c r="K172" s="7">
        <f>ROUND(SUM(K170:K171),5)</f>
        <v>0</v>
      </c>
      <c r="L172" s="6"/>
      <c r="M172" s="7">
        <f>ROUND(SUM(M170:M171),5)</f>
        <v>0</v>
      </c>
      <c r="N172" s="6"/>
      <c r="O172" s="7">
        <f>ROUND(SUM(O170:O171),5)</f>
        <v>0</v>
      </c>
      <c r="P172" s="6"/>
      <c r="Q172" s="7">
        <f>ROUND(SUM(Q170:Q171),5)</f>
        <v>0</v>
      </c>
      <c r="R172" s="6"/>
      <c r="S172" s="7">
        <f>ROUND(SUM(S170:S171),5)</f>
        <v>0</v>
      </c>
      <c r="T172" s="6"/>
      <c r="U172" s="7">
        <f>ROUND(SUM(U170:U171),5)</f>
        <v>0</v>
      </c>
      <c r="V172" s="6"/>
      <c r="W172" s="7">
        <f>ROUND(SUM(W170:W171),5)</f>
        <v>0</v>
      </c>
      <c r="X172" s="6"/>
      <c r="Y172" s="7">
        <f>ROUND(SUM(Y170:Y171),5)</f>
        <v>2317.67</v>
      </c>
      <c r="Z172" s="6"/>
      <c r="AA172" s="7">
        <f>ROUND(SUM(AA170:AA171),5)</f>
        <v>0</v>
      </c>
      <c r="AB172" s="6"/>
      <c r="AC172" s="7">
        <f>ROUND(SUM(AC170:AC171),5)</f>
        <v>0</v>
      </c>
      <c r="AD172" s="6"/>
      <c r="AE172" s="7">
        <f>ROUND(SUM(AE170:AE171),5)</f>
        <v>0</v>
      </c>
      <c r="AF172" s="6"/>
      <c r="AG172" s="7">
        <f>ROUND(SUM(AG170:AG171),5)</f>
        <v>0</v>
      </c>
      <c r="AH172" s="6"/>
      <c r="AI172" s="7">
        <f>ROUND(SUM(AI170:AI171),5)</f>
        <v>0</v>
      </c>
      <c r="AJ172" s="6"/>
      <c r="AK172" s="7">
        <f>ROUND(SUM(AK170:AK171),5)</f>
        <v>0</v>
      </c>
      <c r="AL172" s="6"/>
      <c r="AM172" s="7">
        <f>ROUND(SUM(AM170:AM171),5)</f>
        <v>0</v>
      </c>
      <c r="AN172" s="6"/>
      <c r="AO172" s="7">
        <f>ROUND(SUM(AO170:AO171),5)</f>
        <v>0</v>
      </c>
      <c r="AP172" s="6"/>
      <c r="AQ172" s="7">
        <f>ROUND(SUM(AQ170:AQ171),5)</f>
        <v>0</v>
      </c>
      <c r="AR172" s="6"/>
      <c r="AS172" s="7">
        <f>ROUND(SUM(AS170:AS171),5)</f>
        <v>0</v>
      </c>
      <c r="AT172" s="6"/>
      <c r="AU172" s="7">
        <f>ROUND(SUM(AU170:AU171),5)</f>
        <v>0</v>
      </c>
      <c r="AV172" s="6"/>
      <c r="AW172" s="7">
        <f>ROUND(SUM(G172:AU172),5)</f>
        <v>2317.67</v>
      </c>
    </row>
    <row r="173" spans="1:49">
      <c r="A173" s="4"/>
      <c r="B173" s="4"/>
      <c r="C173" s="4"/>
      <c r="D173" s="4"/>
      <c r="E173" s="4" t="s">
        <v>305</v>
      </c>
      <c r="F173" s="4"/>
      <c r="G173" s="7"/>
      <c r="H173" s="6"/>
      <c r="I173" s="7"/>
      <c r="J173" s="6"/>
      <c r="K173" s="7"/>
      <c r="L173" s="6"/>
      <c r="M173" s="7"/>
      <c r="N173" s="6"/>
      <c r="O173" s="7"/>
      <c r="P173" s="6"/>
      <c r="Q173" s="7"/>
      <c r="R173" s="6"/>
      <c r="S173" s="7"/>
      <c r="T173" s="6"/>
      <c r="U173" s="7"/>
      <c r="V173" s="6"/>
      <c r="W173" s="7"/>
      <c r="X173" s="6"/>
      <c r="Y173" s="7"/>
      <c r="Z173" s="6"/>
      <c r="AA173" s="7"/>
      <c r="AB173" s="6"/>
      <c r="AC173" s="7"/>
      <c r="AD173" s="6"/>
      <c r="AE173" s="7"/>
      <c r="AF173" s="6"/>
      <c r="AG173" s="7"/>
      <c r="AH173" s="6"/>
      <c r="AI173" s="7"/>
      <c r="AJ173" s="6"/>
      <c r="AK173" s="7"/>
      <c r="AL173" s="6"/>
      <c r="AM173" s="7"/>
      <c r="AN173" s="6"/>
      <c r="AO173" s="7"/>
      <c r="AP173" s="6"/>
      <c r="AQ173" s="7"/>
      <c r="AR173" s="6"/>
      <c r="AS173" s="7"/>
      <c r="AT173" s="6"/>
      <c r="AU173" s="7"/>
      <c r="AV173" s="6"/>
      <c r="AW173" s="7"/>
    </row>
    <row r="174" spans="1:49" ht="15.75" thickBot="1">
      <c r="A174" s="4"/>
      <c r="B174" s="4"/>
      <c r="C174" s="4"/>
      <c r="D174" s="4"/>
      <c r="E174" s="4"/>
      <c r="F174" s="4" t="s">
        <v>308</v>
      </c>
      <c r="G174" s="9">
        <v>4500</v>
      </c>
      <c r="H174" s="6"/>
      <c r="I174" s="9">
        <v>600</v>
      </c>
      <c r="J174" s="6"/>
      <c r="K174" s="9">
        <v>0</v>
      </c>
      <c r="L174" s="6"/>
      <c r="M174" s="9">
        <v>0</v>
      </c>
      <c r="N174" s="6"/>
      <c r="O174" s="9">
        <v>0</v>
      </c>
      <c r="P174" s="6"/>
      <c r="Q174" s="9">
        <v>0</v>
      </c>
      <c r="R174" s="6"/>
      <c r="S174" s="9">
        <v>0</v>
      </c>
      <c r="T174" s="6"/>
      <c r="U174" s="9">
        <v>0</v>
      </c>
      <c r="V174" s="6"/>
      <c r="W174" s="9">
        <v>0</v>
      </c>
      <c r="X174" s="6"/>
      <c r="Y174" s="9">
        <v>0</v>
      </c>
      <c r="Z174" s="6"/>
      <c r="AA174" s="9">
        <v>0</v>
      </c>
      <c r="AB174" s="6"/>
      <c r="AC174" s="9">
        <v>0</v>
      </c>
      <c r="AD174" s="6"/>
      <c r="AE174" s="9">
        <v>0</v>
      </c>
      <c r="AF174" s="6"/>
      <c r="AG174" s="9">
        <v>0</v>
      </c>
      <c r="AH174" s="6"/>
      <c r="AI174" s="9">
        <v>0</v>
      </c>
      <c r="AJ174" s="6"/>
      <c r="AK174" s="9">
        <v>0</v>
      </c>
      <c r="AL174" s="6"/>
      <c r="AM174" s="9">
        <v>0</v>
      </c>
      <c r="AN174" s="6"/>
      <c r="AO174" s="9">
        <v>0</v>
      </c>
      <c r="AP174" s="6"/>
      <c r="AQ174" s="9">
        <v>0</v>
      </c>
      <c r="AR174" s="6"/>
      <c r="AS174" s="9">
        <v>0</v>
      </c>
      <c r="AT174" s="6"/>
      <c r="AU174" s="9">
        <v>0</v>
      </c>
      <c r="AV174" s="6"/>
      <c r="AW174" s="9">
        <f>ROUND(SUM(G174:AU174),5)</f>
        <v>5100</v>
      </c>
    </row>
    <row r="175" spans="1:49">
      <c r="A175" s="4"/>
      <c r="B175" s="4"/>
      <c r="C175" s="4"/>
      <c r="D175" s="4"/>
      <c r="E175" s="4" t="s">
        <v>309</v>
      </c>
      <c r="F175" s="4"/>
      <c r="G175" s="7">
        <f>ROUND(SUM(G173:G174),5)</f>
        <v>4500</v>
      </c>
      <c r="H175" s="6"/>
      <c r="I175" s="7">
        <f>ROUND(SUM(I173:I174),5)</f>
        <v>600</v>
      </c>
      <c r="J175" s="6"/>
      <c r="K175" s="7">
        <f>ROUND(SUM(K173:K174),5)</f>
        <v>0</v>
      </c>
      <c r="L175" s="6"/>
      <c r="M175" s="7">
        <f>ROUND(SUM(M173:M174),5)</f>
        <v>0</v>
      </c>
      <c r="N175" s="6"/>
      <c r="O175" s="7">
        <f>ROUND(SUM(O173:O174),5)</f>
        <v>0</v>
      </c>
      <c r="P175" s="6"/>
      <c r="Q175" s="7">
        <f>ROUND(SUM(Q173:Q174),5)</f>
        <v>0</v>
      </c>
      <c r="R175" s="6"/>
      <c r="S175" s="7">
        <f>ROUND(SUM(S173:S174),5)</f>
        <v>0</v>
      </c>
      <c r="T175" s="6"/>
      <c r="U175" s="7">
        <f>ROUND(SUM(U173:U174),5)</f>
        <v>0</v>
      </c>
      <c r="V175" s="6"/>
      <c r="W175" s="7">
        <f>ROUND(SUM(W173:W174),5)</f>
        <v>0</v>
      </c>
      <c r="X175" s="6"/>
      <c r="Y175" s="7">
        <f>ROUND(SUM(Y173:Y174),5)</f>
        <v>0</v>
      </c>
      <c r="Z175" s="6"/>
      <c r="AA175" s="7">
        <f>ROUND(SUM(AA173:AA174),5)</f>
        <v>0</v>
      </c>
      <c r="AB175" s="6"/>
      <c r="AC175" s="7">
        <f>ROUND(SUM(AC173:AC174),5)</f>
        <v>0</v>
      </c>
      <c r="AD175" s="6"/>
      <c r="AE175" s="7">
        <f>ROUND(SUM(AE173:AE174),5)</f>
        <v>0</v>
      </c>
      <c r="AF175" s="6"/>
      <c r="AG175" s="7">
        <f>ROUND(SUM(AG173:AG174),5)</f>
        <v>0</v>
      </c>
      <c r="AH175" s="6"/>
      <c r="AI175" s="7">
        <f>ROUND(SUM(AI173:AI174),5)</f>
        <v>0</v>
      </c>
      <c r="AJ175" s="6"/>
      <c r="AK175" s="7">
        <f>ROUND(SUM(AK173:AK174),5)</f>
        <v>0</v>
      </c>
      <c r="AL175" s="6"/>
      <c r="AM175" s="7">
        <f>ROUND(SUM(AM173:AM174),5)</f>
        <v>0</v>
      </c>
      <c r="AN175" s="6"/>
      <c r="AO175" s="7">
        <f>ROUND(SUM(AO173:AO174),5)</f>
        <v>0</v>
      </c>
      <c r="AP175" s="6"/>
      <c r="AQ175" s="7">
        <f>ROUND(SUM(AQ173:AQ174),5)</f>
        <v>0</v>
      </c>
      <c r="AR175" s="6"/>
      <c r="AS175" s="7">
        <f>ROUND(SUM(AS173:AS174),5)</f>
        <v>0</v>
      </c>
      <c r="AT175" s="6"/>
      <c r="AU175" s="7">
        <f>ROUND(SUM(AU173:AU174),5)</f>
        <v>0</v>
      </c>
      <c r="AV175" s="6"/>
      <c r="AW175" s="7">
        <f>ROUND(SUM(G175:AU175),5)</f>
        <v>5100</v>
      </c>
    </row>
    <row r="176" spans="1:49">
      <c r="A176" s="4"/>
      <c r="B176" s="4"/>
      <c r="C176" s="4"/>
      <c r="D176" s="4"/>
      <c r="E176" s="4" t="s">
        <v>314</v>
      </c>
      <c r="F176" s="4"/>
      <c r="G176" s="7"/>
      <c r="H176" s="6"/>
      <c r="I176" s="7"/>
      <c r="J176" s="6"/>
      <c r="K176" s="7"/>
      <c r="L176" s="6"/>
      <c r="M176" s="7"/>
      <c r="N176" s="6"/>
      <c r="O176" s="7"/>
      <c r="P176" s="6"/>
      <c r="Q176" s="7"/>
      <c r="R176" s="6"/>
      <c r="S176" s="7"/>
      <c r="T176" s="6"/>
      <c r="U176" s="7"/>
      <c r="V176" s="6"/>
      <c r="W176" s="7"/>
      <c r="X176" s="6"/>
      <c r="Y176" s="7"/>
      <c r="Z176" s="6"/>
      <c r="AA176" s="7"/>
      <c r="AB176" s="6"/>
      <c r="AC176" s="7"/>
      <c r="AD176" s="6"/>
      <c r="AE176" s="7"/>
      <c r="AF176" s="6"/>
      <c r="AG176" s="7"/>
      <c r="AH176" s="6"/>
      <c r="AI176" s="7"/>
      <c r="AJ176" s="6"/>
      <c r="AK176" s="7"/>
      <c r="AL176" s="6"/>
      <c r="AM176" s="7"/>
      <c r="AN176" s="6"/>
      <c r="AO176" s="7"/>
      <c r="AP176" s="6"/>
      <c r="AQ176" s="7"/>
      <c r="AR176" s="6"/>
      <c r="AS176" s="7"/>
      <c r="AT176" s="6"/>
      <c r="AU176" s="7"/>
      <c r="AV176" s="6"/>
      <c r="AW176" s="7"/>
    </row>
    <row r="177" spans="1:49">
      <c r="A177" s="4"/>
      <c r="B177" s="4"/>
      <c r="C177" s="4"/>
      <c r="D177" s="4"/>
      <c r="E177" s="4"/>
      <c r="F177" s="4" t="s">
        <v>315</v>
      </c>
      <c r="G177" s="7">
        <v>0</v>
      </c>
      <c r="H177" s="6"/>
      <c r="I177" s="7">
        <v>0</v>
      </c>
      <c r="J177" s="6"/>
      <c r="K177" s="7">
        <v>0</v>
      </c>
      <c r="L177" s="6"/>
      <c r="M177" s="7">
        <v>0</v>
      </c>
      <c r="N177" s="6"/>
      <c r="O177" s="7">
        <v>0</v>
      </c>
      <c r="P177" s="6"/>
      <c r="Q177" s="7">
        <v>0</v>
      </c>
      <c r="R177" s="6"/>
      <c r="S177" s="7">
        <v>0</v>
      </c>
      <c r="T177" s="6"/>
      <c r="U177" s="7">
        <v>0</v>
      </c>
      <c r="V177" s="6"/>
      <c r="W177" s="7">
        <v>0</v>
      </c>
      <c r="X177" s="6"/>
      <c r="Y177" s="7">
        <v>1964.8</v>
      </c>
      <c r="Z177" s="6"/>
      <c r="AA177" s="7">
        <v>0</v>
      </c>
      <c r="AB177" s="6"/>
      <c r="AC177" s="7">
        <v>0</v>
      </c>
      <c r="AD177" s="6"/>
      <c r="AE177" s="7">
        <v>0</v>
      </c>
      <c r="AF177" s="6"/>
      <c r="AG177" s="7">
        <v>0</v>
      </c>
      <c r="AH177" s="6"/>
      <c r="AI177" s="7">
        <v>0</v>
      </c>
      <c r="AJ177" s="6"/>
      <c r="AK177" s="7">
        <v>0</v>
      </c>
      <c r="AL177" s="6"/>
      <c r="AM177" s="7">
        <v>0</v>
      </c>
      <c r="AN177" s="6"/>
      <c r="AO177" s="7">
        <v>0</v>
      </c>
      <c r="AP177" s="6"/>
      <c r="AQ177" s="7">
        <v>0</v>
      </c>
      <c r="AR177" s="6"/>
      <c r="AS177" s="7">
        <v>0</v>
      </c>
      <c r="AT177" s="6"/>
      <c r="AU177" s="7">
        <v>0</v>
      </c>
      <c r="AV177" s="6"/>
      <c r="AW177" s="7">
        <f>ROUND(SUM(G177:AU177),5)</f>
        <v>1964.8</v>
      </c>
    </row>
    <row r="178" spans="1:49">
      <c r="A178" s="4"/>
      <c r="B178" s="4"/>
      <c r="C178" s="4"/>
      <c r="D178" s="4"/>
      <c r="E178" s="4"/>
      <c r="F178" s="4" t="s">
        <v>316</v>
      </c>
      <c r="G178" s="7">
        <v>0</v>
      </c>
      <c r="H178" s="6"/>
      <c r="I178" s="7">
        <v>0</v>
      </c>
      <c r="J178" s="6"/>
      <c r="K178" s="7">
        <v>0</v>
      </c>
      <c r="L178" s="6"/>
      <c r="M178" s="7">
        <v>0</v>
      </c>
      <c r="N178" s="6"/>
      <c r="O178" s="7">
        <v>0</v>
      </c>
      <c r="P178" s="6"/>
      <c r="Q178" s="7">
        <v>0</v>
      </c>
      <c r="R178" s="6"/>
      <c r="S178" s="7">
        <v>0</v>
      </c>
      <c r="T178" s="6"/>
      <c r="U178" s="7">
        <v>0</v>
      </c>
      <c r="V178" s="6"/>
      <c r="W178" s="7">
        <v>0</v>
      </c>
      <c r="X178" s="6"/>
      <c r="Y178" s="7">
        <v>404</v>
      </c>
      <c r="Z178" s="6"/>
      <c r="AA178" s="7">
        <v>0</v>
      </c>
      <c r="AB178" s="6"/>
      <c r="AC178" s="7">
        <v>0</v>
      </c>
      <c r="AD178" s="6"/>
      <c r="AE178" s="7">
        <v>0</v>
      </c>
      <c r="AF178" s="6"/>
      <c r="AG178" s="7">
        <v>0</v>
      </c>
      <c r="AH178" s="6"/>
      <c r="AI178" s="7">
        <v>0</v>
      </c>
      <c r="AJ178" s="6"/>
      <c r="AK178" s="7">
        <v>0</v>
      </c>
      <c r="AL178" s="6"/>
      <c r="AM178" s="7">
        <v>0</v>
      </c>
      <c r="AN178" s="6"/>
      <c r="AO178" s="7">
        <v>0</v>
      </c>
      <c r="AP178" s="6"/>
      <c r="AQ178" s="7">
        <v>0</v>
      </c>
      <c r="AR178" s="6"/>
      <c r="AS178" s="7">
        <v>0</v>
      </c>
      <c r="AT178" s="6"/>
      <c r="AU178" s="7">
        <v>0</v>
      </c>
      <c r="AV178" s="6"/>
      <c r="AW178" s="7">
        <f>ROUND(SUM(G178:AU178),5)</f>
        <v>404</v>
      </c>
    </row>
    <row r="179" spans="1:49">
      <c r="A179" s="4"/>
      <c r="B179" s="4"/>
      <c r="C179" s="4"/>
      <c r="D179" s="4"/>
      <c r="E179" s="4"/>
      <c r="F179" s="4" t="s">
        <v>317</v>
      </c>
      <c r="G179" s="7">
        <v>0</v>
      </c>
      <c r="H179" s="6"/>
      <c r="I179" s="7">
        <v>0</v>
      </c>
      <c r="J179" s="6"/>
      <c r="K179" s="7">
        <v>0</v>
      </c>
      <c r="L179" s="6"/>
      <c r="M179" s="7">
        <v>0</v>
      </c>
      <c r="N179" s="6"/>
      <c r="O179" s="7">
        <v>0</v>
      </c>
      <c r="P179" s="6"/>
      <c r="Q179" s="7">
        <v>0</v>
      </c>
      <c r="R179" s="6"/>
      <c r="S179" s="7">
        <v>0</v>
      </c>
      <c r="T179" s="6"/>
      <c r="U179" s="7">
        <v>0</v>
      </c>
      <c r="V179" s="6"/>
      <c r="W179" s="7">
        <v>0</v>
      </c>
      <c r="X179" s="6"/>
      <c r="Y179" s="7">
        <v>2819.91</v>
      </c>
      <c r="Z179" s="6"/>
      <c r="AA179" s="7">
        <v>1353.55</v>
      </c>
      <c r="AB179" s="6"/>
      <c r="AC179" s="7">
        <v>0</v>
      </c>
      <c r="AD179" s="6"/>
      <c r="AE179" s="7">
        <v>0</v>
      </c>
      <c r="AF179" s="6"/>
      <c r="AG179" s="7">
        <v>0</v>
      </c>
      <c r="AH179" s="6"/>
      <c r="AI179" s="7">
        <v>0</v>
      </c>
      <c r="AJ179" s="6"/>
      <c r="AK179" s="7">
        <v>0</v>
      </c>
      <c r="AL179" s="6"/>
      <c r="AM179" s="7">
        <v>0</v>
      </c>
      <c r="AN179" s="6"/>
      <c r="AO179" s="7">
        <v>0</v>
      </c>
      <c r="AP179" s="6"/>
      <c r="AQ179" s="7">
        <v>0</v>
      </c>
      <c r="AR179" s="6"/>
      <c r="AS179" s="7">
        <v>0</v>
      </c>
      <c r="AT179" s="6"/>
      <c r="AU179" s="7">
        <v>0</v>
      </c>
      <c r="AV179" s="6"/>
      <c r="AW179" s="7">
        <f>ROUND(SUM(G179:AU179),5)</f>
        <v>4173.46</v>
      </c>
    </row>
    <row r="180" spans="1:49">
      <c r="A180" s="4"/>
      <c r="B180" s="4"/>
      <c r="C180" s="4"/>
      <c r="D180" s="4"/>
      <c r="E180" s="4"/>
      <c r="F180" s="4" t="s">
        <v>318</v>
      </c>
      <c r="G180" s="7">
        <v>0</v>
      </c>
      <c r="H180" s="6"/>
      <c r="I180" s="7">
        <v>0</v>
      </c>
      <c r="J180" s="6"/>
      <c r="K180" s="7">
        <v>0</v>
      </c>
      <c r="L180" s="6"/>
      <c r="M180" s="7">
        <v>0</v>
      </c>
      <c r="N180" s="6"/>
      <c r="O180" s="7">
        <v>0</v>
      </c>
      <c r="P180" s="6"/>
      <c r="Q180" s="7">
        <v>0</v>
      </c>
      <c r="R180" s="6"/>
      <c r="S180" s="7">
        <v>0</v>
      </c>
      <c r="T180" s="6"/>
      <c r="U180" s="7">
        <v>0</v>
      </c>
      <c r="V180" s="6"/>
      <c r="W180" s="7">
        <v>0</v>
      </c>
      <c r="X180" s="6"/>
      <c r="Y180" s="7">
        <v>729.5</v>
      </c>
      <c r="Z180" s="6"/>
      <c r="AA180" s="7">
        <v>0</v>
      </c>
      <c r="AB180" s="6"/>
      <c r="AC180" s="7">
        <v>0</v>
      </c>
      <c r="AD180" s="6"/>
      <c r="AE180" s="7">
        <v>0</v>
      </c>
      <c r="AF180" s="6"/>
      <c r="AG180" s="7">
        <v>0</v>
      </c>
      <c r="AH180" s="6"/>
      <c r="AI180" s="7">
        <v>0</v>
      </c>
      <c r="AJ180" s="6"/>
      <c r="AK180" s="7">
        <v>0</v>
      </c>
      <c r="AL180" s="6"/>
      <c r="AM180" s="7">
        <v>0</v>
      </c>
      <c r="AN180" s="6"/>
      <c r="AO180" s="7">
        <v>0</v>
      </c>
      <c r="AP180" s="6"/>
      <c r="AQ180" s="7">
        <v>0</v>
      </c>
      <c r="AR180" s="6"/>
      <c r="AS180" s="7">
        <v>0</v>
      </c>
      <c r="AT180" s="6"/>
      <c r="AU180" s="7">
        <v>0</v>
      </c>
      <c r="AV180" s="6"/>
      <c r="AW180" s="7">
        <f>ROUND(SUM(G180:AU180),5)</f>
        <v>729.5</v>
      </c>
    </row>
    <row r="181" spans="1:49" ht="15.75" thickBot="1">
      <c r="A181" s="4"/>
      <c r="B181" s="4"/>
      <c r="C181" s="4"/>
      <c r="D181" s="4"/>
      <c r="E181" s="4"/>
      <c r="F181" s="4" t="s">
        <v>319</v>
      </c>
      <c r="G181" s="7">
        <v>0</v>
      </c>
      <c r="H181" s="6"/>
      <c r="I181" s="7">
        <v>0</v>
      </c>
      <c r="J181" s="6"/>
      <c r="K181" s="7">
        <v>0</v>
      </c>
      <c r="L181" s="6"/>
      <c r="M181" s="7">
        <v>0</v>
      </c>
      <c r="N181" s="6"/>
      <c r="O181" s="7">
        <v>0</v>
      </c>
      <c r="P181" s="6"/>
      <c r="Q181" s="7">
        <v>0</v>
      </c>
      <c r="R181" s="6"/>
      <c r="S181" s="7">
        <v>0</v>
      </c>
      <c r="T181" s="6"/>
      <c r="U181" s="7">
        <v>0</v>
      </c>
      <c r="V181" s="6"/>
      <c r="W181" s="7">
        <v>0</v>
      </c>
      <c r="X181" s="6"/>
      <c r="Y181" s="7">
        <v>125</v>
      </c>
      <c r="Z181" s="6"/>
      <c r="AA181" s="7">
        <v>0</v>
      </c>
      <c r="AB181" s="6"/>
      <c r="AC181" s="7">
        <v>0</v>
      </c>
      <c r="AD181" s="6"/>
      <c r="AE181" s="7">
        <v>0</v>
      </c>
      <c r="AF181" s="6"/>
      <c r="AG181" s="7">
        <v>0</v>
      </c>
      <c r="AH181" s="6"/>
      <c r="AI181" s="7">
        <v>0</v>
      </c>
      <c r="AJ181" s="6"/>
      <c r="AK181" s="7">
        <v>0</v>
      </c>
      <c r="AL181" s="6"/>
      <c r="AM181" s="7">
        <v>0</v>
      </c>
      <c r="AN181" s="6"/>
      <c r="AO181" s="7">
        <v>0</v>
      </c>
      <c r="AP181" s="6"/>
      <c r="AQ181" s="7">
        <v>0</v>
      </c>
      <c r="AR181" s="6"/>
      <c r="AS181" s="7">
        <v>0</v>
      </c>
      <c r="AT181" s="6"/>
      <c r="AU181" s="7">
        <v>0</v>
      </c>
      <c r="AV181" s="6"/>
      <c r="AW181" s="7">
        <f>ROUND(SUM(G181:AU181),5)</f>
        <v>125</v>
      </c>
    </row>
    <row r="182" spans="1:49" ht="15.75" thickBot="1">
      <c r="A182" s="4"/>
      <c r="B182" s="4"/>
      <c r="C182" s="4"/>
      <c r="D182" s="4"/>
      <c r="E182" s="4" t="s">
        <v>320</v>
      </c>
      <c r="F182" s="4"/>
      <c r="G182" s="5">
        <f>ROUND(SUM(G176:G181),5)</f>
        <v>0</v>
      </c>
      <c r="H182" s="6"/>
      <c r="I182" s="5">
        <f>ROUND(SUM(I176:I181),5)</f>
        <v>0</v>
      </c>
      <c r="J182" s="6"/>
      <c r="K182" s="5">
        <f>ROUND(SUM(K176:K181),5)</f>
        <v>0</v>
      </c>
      <c r="L182" s="6"/>
      <c r="M182" s="5">
        <f>ROUND(SUM(M176:M181),5)</f>
        <v>0</v>
      </c>
      <c r="N182" s="6"/>
      <c r="O182" s="5">
        <f>ROUND(SUM(O176:O181),5)</f>
        <v>0</v>
      </c>
      <c r="P182" s="6"/>
      <c r="Q182" s="5">
        <f>ROUND(SUM(Q176:Q181),5)</f>
        <v>0</v>
      </c>
      <c r="R182" s="6"/>
      <c r="S182" s="5">
        <f>ROUND(SUM(S176:S181),5)</f>
        <v>0</v>
      </c>
      <c r="T182" s="6"/>
      <c r="U182" s="5">
        <f>ROUND(SUM(U176:U181),5)</f>
        <v>0</v>
      </c>
      <c r="V182" s="6"/>
      <c r="W182" s="5">
        <f>ROUND(SUM(W176:W181),5)</f>
        <v>0</v>
      </c>
      <c r="X182" s="6"/>
      <c r="Y182" s="5">
        <f>ROUND(SUM(Y176:Y181),5)</f>
        <v>6043.21</v>
      </c>
      <c r="Z182" s="6"/>
      <c r="AA182" s="5">
        <f>ROUND(SUM(AA176:AA181),5)</f>
        <v>1353.55</v>
      </c>
      <c r="AB182" s="6"/>
      <c r="AC182" s="5">
        <f>ROUND(SUM(AC176:AC181),5)</f>
        <v>0</v>
      </c>
      <c r="AD182" s="6"/>
      <c r="AE182" s="5">
        <f>ROUND(SUM(AE176:AE181),5)</f>
        <v>0</v>
      </c>
      <c r="AF182" s="6"/>
      <c r="AG182" s="5">
        <f>ROUND(SUM(AG176:AG181),5)</f>
        <v>0</v>
      </c>
      <c r="AH182" s="6"/>
      <c r="AI182" s="5">
        <f>ROUND(SUM(AI176:AI181),5)</f>
        <v>0</v>
      </c>
      <c r="AJ182" s="6"/>
      <c r="AK182" s="5">
        <f>ROUND(SUM(AK176:AK181),5)</f>
        <v>0</v>
      </c>
      <c r="AL182" s="6"/>
      <c r="AM182" s="5">
        <f>ROUND(SUM(AM176:AM181),5)</f>
        <v>0</v>
      </c>
      <c r="AN182" s="6"/>
      <c r="AO182" s="5">
        <f>ROUND(SUM(AO176:AO181),5)</f>
        <v>0</v>
      </c>
      <c r="AP182" s="6"/>
      <c r="AQ182" s="5">
        <f>ROUND(SUM(AQ176:AQ181),5)</f>
        <v>0</v>
      </c>
      <c r="AR182" s="6"/>
      <c r="AS182" s="5">
        <f>ROUND(SUM(AS176:AS181),5)</f>
        <v>0</v>
      </c>
      <c r="AT182" s="6"/>
      <c r="AU182" s="5">
        <f>ROUND(SUM(AU176:AU181),5)</f>
        <v>0</v>
      </c>
      <c r="AV182" s="6"/>
      <c r="AW182" s="5">
        <f>ROUND(SUM(G182:AU182),5)</f>
        <v>7396.76</v>
      </c>
    </row>
    <row r="183" spans="1:49" ht="15.75" thickBot="1">
      <c r="A183" s="4"/>
      <c r="B183" s="4"/>
      <c r="C183" s="4"/>
      <c r="D183" s="4" t="s">
        <v>324</v>
      </c>
      <c r="E183" s="4"/>
      <c r="F183" s="4"/>
      <c r="G183" s="8">
        <f>ROUND(SUM(G23:G24)+G52+G61+G64+G71+G74+G79+G83+G96+G102+G105+G108+G111+G114+G117+G122+G136+G139+G142+G145+G148+G151+G159+G166+G169+G172+G175+G182,5)</f>
        <v>514273.13</v>
      </c>
      <c r="H183" s="6"/>
      <c r="I183" s="8">
        <f>ROUND(SUM(I23:I24)+I52+I61+I64+I71+I74+I79+I83+I96+I102+I105+I108+I111+I114+I117+I122+I136+I139+I142+I145+I148+I151+I159+I166+I169+I172+I175+I182,5)</f>
        <v>67688.399999999994</v>
      </c>
      <c r="J183" s="6"/>
      <c r="K183" s="8">
        <f>ROUND(SUM(K23:K24)+K52+K61+K64+K71+K74+K79+K83+K96+K102+K105+K108+K111+K114+K117+K122+K136+K139+K142+K145+K148+K151+K159+K166+K169+K172+K175+K182,5)</f>
        <v>168</v>
      </c>
      <c r="L183" s="6"/>
      <c r="M183" s="8">
        <f>ROUND(SUM(M23:M24)+M52+M61+M64+M71+M74+M79+M83+M96+M102+M105+M108+M111+M114+M117+M122+M136+M139+M142+M145+M148+M151+M159+M166+M169+M172+M175+M182,5)</f>
        <v>2664.95</v>
      </c>
      <c r="N183" s="6"/>
      <c r="O183" s="8">
        <f>ROUND(SUM(O23:O24)+O52+O61+O64+O71+O74+O79+O83+O96+O102+O105+O108+O111+O114+O117+O122+O136+O139+O142+O145+O148+O151+O159+O166+O169+O172+O175+O182,5)</f>
        <v>7939.97</v>
      </c>
      <c r="P183" s="6"/>
      <c r="Q183" s="8">
        <f>ROUND(SUM(Q23:Q24)+Q52+Q61+Q64+Q71+Q74+Q79+Q83+Q96+Q102+Q105+Q108+Q111+Q114+Q117+Q122+Q136+Q139+Q142+Q145+Q148+Q151+Q159+Q166+Q169+Q172+Q175+Q182,5)</f>
        <v>3686.17</v>
      </c>
      <c r="R183" s="6"/>
      <c r="S183" s="8">
        <f>ROUND(SUM(S23:S24)+S52+S61+S64+S71+S74+S79+S83+S96+S102+S105+S108+S111+S114+S117+S122+S136+S139+S142+S145+S148+S151+S159+S166+S169+S172+S175+S182,5)</f>
        <v>8391.5</v>
      </c>
      <c r="T183" s="6"/>
      <c r="U183" s="8">
        <f>ROUND(SUM(U23:U24)+U52+U61+U64+U71+U74+U79+U83+U96+U102+U105+U108+U111+U114+U117+U122+U136+U139+U142+U145+U148+U151+U159+U166+U169+U172+U175+U182,5)</f>
        <v>0</v>
      </c>
      <c r="V183" s="6"/>
      <c r="W183" s="8">
        <f>ROUND(SUM(W23:W24)+W52+W61+W64+W71+W74+W79+W83+W96+W102+W105+W108+W111+W114+W117+W122+W136+W139+W142+W145+W148+W151+W159+W166+W169+W172+W175+W182,5)</f>
        <v>62750</v>
      </c>
      <c r="X183" s="6"/>
      <c r="Y183" s="8">
        <f>ROUND(SUM(Y23:Y24)+Y52+Y61+Y64+Y71+Y74+Y79+Y83+Y96+Y102+Y105+Y108+Y111+Y114+Y117+Y122+Y136+Y139+Y142+Y145+Y148+Y151+Y159+Y166+Y169+Y172+Y175+Y182,5)</f>
        <v>292633.18</v>
      </c>
      <c r="Z183" s="6"/>
      <c r="AA183" s="8">
        <f>ROUND(SUM(AA23:AA24)+AA52+AA61+AA64+AA71+AA74+AA79+AA83+AA96+AA102+AA105+AA108+AA111+AA114+AA117+AA122+AA136+AA139+AA142+AA145+AA148+AA151+AA159+AA166+AA169+AA172+AA175+AA182,5)</f>
        <v>11436.85</v>
      </c>
      <c r="AB183" s="6"/>
      <c r="AC183" s="8">
        <f>ROUND(SUM(AC23:AC24)+AC52+AC61+AC64+AC71+AC74+AC79+AC83+AC96+AC102+AC105+AC108+AC111+AC114+AC117+AC122+AC136+AC139+AC142+AC145+AC148+AC151+AC159+AC166+AC169+AC172+AC175+AC182,5)</f>
        <v>12174.58</v>
      </c>
      <c r="AD183" s="6"/>
      <c r="AE183" s="8">
        <f>ROUND(SUM(AE23:AE24)+AE52+AE61+AE64+AE71+AE74+AE79+AE83+AE96+AE102+AE105+AE108+AE111+AE114+AE117+AE122+AE136+AE139+AE142+AE145+AE148+AE151+AE159+AE166+AE169+AE172+AE175+AE182,5)</f>
        <v>1479.68</v>
      </c>
      <c r="AF183" s="6"/>
      <c r="AG183" s="8">
        <f>ROUND(SUM(AG23:AG24)+AG52+AG61+AG64+AG71+AG74+AG79+AG83+AG96+AG102+AG105+AG108+AG111+AG114+AG117+AG122+AG136+AG139+AG142+AG145+AG148+AG151+AG159+AG166+AG169+AG172+AG175+AG182,5)</f>
        <v>12254.29</v>
      </c>
      <c r="AH183" s="6"/>
      <c r="AI183" s="8">
        <f>ROUND(SUM(AI23:AI24)+AI52+AI61+AI64+AI71+AI74+AI79+AI83+AI96+AI102+AI105+AI108+AI111+AI114+AI117+AI122+AI136+AI139+AI142+AI145+AI148+AI151+AI159+AI166+AI169+AI172+AI175+AI182,5)</f>
        <v>0</v>
      </c>
      <c r="AJ183" s="6"/>
      <c r="AK183" s="8">
        <f>ROUND(SUM(AK23:AK24)+AK52+AK61+AK64+AK71+AK74+AK79+AK83+AK96+AK102+AK105+AK108+AK111+AK114+AK117+AK122+AK136+AK139+AK142+AK145+AK148+AK151+AK159+AK166+AK169+AK172+AK175+AK182,5)</f>
        <v>34848.089999999997</v>
      </c>
      <c r="AL183" s="6"/>
      <c r="AM183" s="8">
        <f>ROUND(SUM(AM23:AM24)+AM52+AM61+AM64+AM71+AM74+AM79+AM83+AM96+AM102+AM105+AM108+AM111+AM114+AM117+AM122+AM136+AM139+AM142+AM145+AM148+AM151+AM159+AM166+AM169+AM172+AM175+AM182,5)</f>
        <v>45404.49</v>
      </c>
      <c r="AN183" s="6"/>
      <c r="AO183" s="8">
        <f>ROUND(SUM(AO23:AO24)+AO52+AO61+AO64+AO71+AO74+AO79+AO83+AO96+AO102+AO105+AO108+AO111+AO114+AO117+AO122+AO136+AO139+AO142+AO145+AO148+AO151+AO159+AO166+AO169+AO172+AO175+AO182,5)</f>
        <v>0</v>
      </c>
      <c r="AP183" s="6"/>
      <c r="AQ183" s="8">
        <f>ROUND(SUM(AQ23:AQ24)+AQ52+AQ61+AQ64+AQ71+AQ74+AQ79+AQ83+AQ96+AQ102+AQ105+AQ108+AQ111+AQ114+AQ117+AQ122+AQ136+AQ139+AQ142+AQ145+AQ148+AQ151+AQ159+AQ166+AQ169+AQ172+AQ175+AQ182,5)</f>
        <v>0</v>
      </c>
      <c r="AR183" s="6"/>
      <c r="AS183" s="8">
        <f>ROUND(SUM(AS23:AS24)+AS52+AS61+AS64+AS71+AS74+AS79+AS83+AS96+AS102+AS105+AS108+AS111+AS114+AS117+AS122+AS136+AS139+AS142+AS145+AS148+AS151+AS159+AS166+AS169+AS172+AS175+AS182,5)</f>
        <v>-368.14</v>
      </c>
      <c r="AT183" s="6"/>
      <c r="AU183" s="8">
        <f>ROUND(SUM(AU23:AU24)+AU52+AU61+AU64+AU71+AU74+AU79+AU83+AU96+AU102+AU105+AU108+AU111+AU114+AU117+AU122+AU136+AU139+AU142+AU145+AU148+AU151+AU159+AU166+AU169+AU172+AU175+AU182,5)</f>
        <v>346132.54</v>
      </c>
      <c r="AV183" s="6"/>
      <c r="AW183" s="8">
        <f>ROUND(SUM(G183:AU183),5)</f>
        <v>1423557.68</v>
      </c>
    </row>
    <row r="184" spans="1:49">
      <c r="A184" s="4"/>
      <c r="B184" s="4" t="s">
        <v>325</v>
      </c>
      <c r="C184" s="4"/>
      <c r="D184" s="4"/>
      <c r="E184" s="4"/>
      <c r="F184" s="4"/>
      <c r="G184" s="7">
        <f>ROUND(G2+G22-G183,5)</f>
        <v>232415.33</v>
      </c>
      <c r="H184" s="6"/>
      <c r="I184" s="7">
        <f>ROUND(I2+I22-I183,5)</f>
        <v>-67688.399999999994</v>
      </c>
      <c r="J184" s="6"/>
      <c r="K184" s="7">
        <f>ROUND(K2+K22-K183,5)</f>
        <v>23.89</v>
      </c>
      <c r="L184" s="6"/>
      <c r="M184" s="7">
        <f>ROUND(M2+M22-M183,5)</f>
        <v>-2664.95</v>
      </c>
      <c r="N184" s="6"/>
      <c r="O184" s="7">
        <f>ROUND(O2+O22-O183,5)</f>
        <v>-7939.97</v>
      </c>
      <c r="P184" s="6"/>
      <c r="Q184" s="7">
        <f>ROUND(Q2+Q22-Q183,5)</f>
        <v>2652.96</v>
      </c>
      <c r="R184" s="6"/>
      <c r="S184" s="7">
        <f>ROUND(S2+S22-S183,5)</f>
        <v>-8391.5</v>
      </c>
      <c r="T184" s="6"/>
      <c r="U184" s="7">
        <f>ROUND(U2+U22-U183,5)</f>
        <v>259000</v>
      </c>
      <c r="V184" s="6"/>
      <c r="W184" s="7">
        <f>ROUND(W2+W22-W183,5)</f>
        <v>-62000</v>
      </c>
      <c r="X184" s="6"/>
      <c r="Y184" s="7">
        <f>ROUND(Y2+Y22-Y183,5)</f>
        <v>42720.18</v>
      </c>
      <c r="Z184" s="6"/>
      <c r="AA184" s="7">
        <f>ROUND(AA2+AA22-AA183,5)</f>
        <v>-586.04999999999995</v>
      </c>
      <c r="AB184" s="6"/>
      <c r="AC184" s="7">
        <f>ROUND(AC2+AC22-AC183,5)</f>
        <v>26597.79</v>
      </c>
      <c r="AD184" s="6"/>
      <c r="AE184" s="7">
        <f>ROUND(AE2+AE22-AE183,5)</f>
        <v>0</v>
      </c>
      <c r="AF184" s="6"/>
      <c r="AG184" s="7">
        <f>ROUND(AG2+AG22-AG183,5)</f>
        <v>-12254.29</v>
      </c>
      <c r="AH184" s="6"/>
      <c r="AI184" s="7">
        <f>ROUND(AI2+AI22-AI183,5)</f>
        <v>0</v>
      </c>
      <c r="AJ184" s="6"/>
      <c r="AK184" s="7">
        <f>ROUND(AK2+AK22-AK183,5)</f>
        <v>-34848.089999999997</v>
      </c>
      <c r="AL184" s="6"/>
      <c r="AM184" s="7">
        <f>ROUND(AM2+AM22-AM183,5)</f>
        <v>0</v>
      </c>
      <c r="AN184" s="6"/>
      <c r="AO184" s="7">
        <f>ROUND(AO2+AO22-AO183,5)</f>
        <v>0</v>
      </c>
      <c r="AP184" s="6"/>
      <c r="AQ184" s="7">
        <f>ROUND(AQ2+AQ22-AQ183,5)</f>
        <v>0</v>
      </c>
      <c r="AR184" s="6"/>
      <c r="AS184" s="7">
        <f>ROUND(AS2+AS22-AS183,5)</f>
        <v>0</v>
      </c>
      <c r="AT184" s="6"/>
      <c r="AU184" s="7">
        <f>ROUND(AU2+AU22-AU183,5)</f>
        <v>0</v>
      </c>
      <c r="AV184" s="6"/>
      <c r="AW184" s="7">
        <f>ROUND(SUM(G184:AU184),5)</f>
        <v>367036.9</v>
      </c>
    </row>
    <row r="185" spans="1:49">
      <c r="A185" s="4"/>
      <c r="B185" s="4" t="s">
        <v>326</v>
      </c>
      <c r="C185" s="4"/>
      <c r="D185" s="4"/>
      <c r="E185" s="4"/>
      <c r="F185" s="4"/>
      <c r="G185" s="7"/>
      <c r="H185" s="6"/>
      <c r="I185" s="7"/>
      <c r="J185" s="6"/>
      <c r="K185" s="7"/>
      <c r="L185" s="6"/>
      <c r="M185" s="7"/>
      <c r="N185" s="6"/>
      <c r="O185" s="7"/>
      <c r="P185" s="6"/>
      <c r="Q185" s="7"/>
      <c r="R185" s="6"/>
      <c r="S185" s="7"/>
      <c r="T185" s="6"/>
      <c r="U185" s="7"/>
      <c r="V185" s="6"/>
      <c r="W185" s="7"/>
      <c r="X185" s="6"/>
      <c r="Y185" s="7"/>
      <c r="Z185" s="6"/>
      <c r="AA185" s="7"/>
      <c r="AB185" s="6"/>
      <c r="AC185" s="7"/>
      <c r="AD185" s="6"/>
      <c r="AE185" s="7"/>
      <c r="AF185" s="6"/>
      <c r="AG185" s="7"/>
      <c r="AH185" s="6"/>
      <c r="AI185" s="7"/>
      <c r="AJ185" s="6"/>
      <c r="AK185" s="7"/>
      <c r="AL185" s="6"/>
      <c r="AM185" s="7"/>
      <c r="AN185" s="6"/>
      <c r="AO185" s="7"/>
      <c r="AP185" s="6"/>
      <c r="AQ185" s="7"/>
      <c r="AR185" s="6"/>
      <c r="AS185" s="7"/>
      <c r="AT185" s="6"/>
      <c r="AU185" s="7"/>
      <c r="AV185" s="6"/>
      <c r="AW185" s="7"/>
    </row>
    <row r="186" spans="1:49">
      <c r="A186" s="4"/>
      <c r="B186" s="4"/>
      <c r="C186" s="4" t="s">
        <v>327</v>
      </c>
      <c r="D186" s="4"/>
      <c r="E186" s="4"/>
      <c r="F186" s="4"/>
      <c r="G186" s="7"/>
      <c r="H186" s="6"/>
      <c r="I186" s="7"/>
      <c r="J186" s="6"/>
      <c r="K186" s="7"/>
      <c r="L186" s="6"/>
      <c r="M186" s="7"/>
      <c r="N186" s="6"/>
      <c r="O186" s="7"/>
      <c r="P186" s="6"/>
      <c r="Q186" s="7"/>
      <c r="R186" s="6"/>
      <c r="S186" s="7"/>
      <c r="T186" s="6"/>
      <c r="U186" s="7"/>
      <c r="V186" s="6"/>
      <c r="W186" s="7"/>
      <c r="X186" s="6"/>
      <c r="Y186" s="7"/>
      <c r="Z186" s="6"/>
      <c r="AA186" s="7"/>
      <c r="AB186" s="6"/>
      <c r="AC186" s="7"/>
      <c r="AD186" s="6"/>
      <c r="AE186" s="7"/>
      <c r="AF186" s="6"/>
      <c r="AG186" s="7"/>
      <c r="AH186" s="6"/>
      <c r="AI186" s="7"/>
      <c r="AJ186" s="6"/>
      <c r="AK186" s="7"/>
      <c r="AL186" s="6"/>
      <c r="AM186" s="7"/>
      <c r="AN186" s="6"/>
      <c r="AO186" s="7"/>
      <c r="AP186" s="6"/>
      <c r="AQ186" s="7"/>
      <c r="AR186" s="6"/>
      <c r="AS186" s="7"/>
      <c r="AT186" s="6"/>
      <c r="AU186" s="7"/>
      <c r="AV186" s="6"/>
      <c r="AW186" s="7"/>
    </row>
    <row r="187" spans="1:49" ht="15.75" thickBot="1">
      <c r="A187" s="4"/>
      <c r="B187" s="4"/>
      <c r="C187" s="4"/>
      <c r="D187" s="4" t="s">
        <v>328</v>
      </c>
      <c r="E187" s="4"/>
      <c r="F187" s="4"/>
      <c r="G187" s="7">
        <v>21829.040000000001</v>
      </c>
      <c r="H187" s="6"/>
      <c r="I187" s="7">
        <v>0</v>
      </c>
      <c r="J187" s="6"/>
      <c r="K187" s="7">
        <v>0</v>
      </c>
      <c r="L187" s="6"/>
      <c r="M187" s="7">
        <v>0</v>
      </c>
      <c r="N187" s="6"/>
      <c r="O187" s="7">
        <v>0</v>
      </c>
      <c r="P187" s="6"/>
      <c r="Q187" s="7">
        <v>0</v>
      </c>
      <c r="R187" s="6"/>
      <c r="S187" s="7">
        <v>0</v>
      </c>
      <c r="T187" s="6"/>
      <c r="U187" s="7">
        <v>0</v>
      </c>
      <c r="V187" s="6"/>
      <c r="W187" s="7">
        <v>0</v>
      </c>
      <c r="X187" s="6"/>
      <c r="Y187" s="7">
        <v>0</v>
      </c>
      <c r="Z187" s="6"/>
      <c r="AA187" s="7">
        <v>0</v>
      </c>
      <c r="AB187" s="6"/>
      <c r="AC187" s="7">
        <v>0</v>
      </c>
      <c r="AD187" s="6"/>
      <c r="AE187" s="7">
        <v>0</v>
      </c>
      <c r="AF187" s="6"/>
      <c r="AG187" s="7">
        <v>0</v>
      </c>
      <c r="AH187" s="6"/>
      <c r="AI187" s="7">
        <v>0</v>
      </c>
      <c r="AJ187" s="6"/>
      <c r="AK187" s="7">
        <v>0</v>
      </c>
      <c r="AL187" s="6"/>
      <c r="AM187" s="7">
        <v>0</v>
      </c>
      <c r="AN187" s="6"/>
      <c r="AO187" s="7">
        <v>0</v>
      </c>
      <c r="AP187" s="6"/>
      <c r="AQ187" s="7">
        <v>0</v>
      </c>
      <c r="AR187" s="6"/>
      <c r="AS187" s="7">
        <v>0</v>
      </c>
      <c r="AT187" s="6"/>
      <c r="AU187" s="7">
        <v>0</v>
      </c>
      <c r="AV187" s="6"/>
      <c r="AW187" s="7">
        <f>ROUND(SUM(G187:AU187),5)</f>
        <v>21829.040000000001</v>
      </c>
    </row>
    <row r="188" spans="1:49" ht="15.75" thickBot="1">
      <c r="A188" s="4"/>
      <c r="B188" s="4"/>
      <c r="C188" s="4" t="s">
        <v>329</v>
      </c>
      <c r="D188" s="4"/>
      <c r="E188" s="4"/>
      <c r="F188" s="4"/>
      <c r="G188" s="5">
        <f>ROUND(SUM(G186:G187),5)</f>
        <v>21829.040000000001</v>
      </c>
      <c r="H188" s="6"/>
      <c r="I188" s="5">
        <f>ROUND(SUM(I186:I187),5)</f>
        <v>0</v>
      </c>
      <c r="J188" s="6"/>
      <c r="K188" s="5">
        <f>ROUND(SUM(K186:K187),5)</f>
        <v>0</v>
      </c>
      <c r="L188" s="6"/>
      <c r="M188" s="5">
        <f>ROUND(SUM(M186:M187),5)</f>
        <v>0</v>
      </c>
      <c r="N188" s="6"/>
      <c r="O188" s="5">
        <f>ROUND(SUM(O186:O187),5)</f>
        <v>0</v>
      </c>
      <c r="P188" s="6"/>
      <c r="Q188" s="5">
        <f>ROUND(SUM(Q186:Q187),5)</f>
        <v>0</v>
      </c>
      <c r="R188" s="6"/>
      <c r="S188" s="5">
        <f>ROUND(SUM(S186:S187),5)</f>
        <v>0</v>
      </c>
      <c r="T188" s="6"/>
      <c r="U188" s="5">
        <f>ROUND(SUM(U186:U187),5)</f>
        <v>0</v>
      </c>
      <c r="V188" s="6"/>
      <c r="W188" s="5">
        <f>ROUND(SUM(W186:W187),5)</f>
        <v>0</v>
      </c>
      <c r="X188" s="6"/>
      <c r="Y188" s="5">
        <f>ROUND(SUM(Y186:Y187),5)</f>
        <v>0</v>
      </c>
      <c r="Z188" s="6"/>
      <c r="AA188" s="5">
        <f>ROUND(SUM(AA186:AA187),5)</f>
        <v>0</v>
      </c>
      <c r="AB188" s="6"/>
      <c r="AC188" s="5">
        <f>ROUND(SUM(AC186:AC187),5)</f>
        <v>0</v>
      </c>
      <c r="AD188" s="6"/>
      <c r="AE188" s="5">
        <f>ROUND(SUM(AE186:AE187),5)</f>
        <v>0</v>
      </c>
      <c r="AF188" s="6"/>
      <c r="AG188" s="5">
        <f>ROUND(SUM(AG186:AG187),5)</f>
        <v>0</v>
      </c>
      <c r="AH188" s="6"/>
      <c r="AI188" s="5">
        <f>ROUND(SUM(AI186:AI187),5)</f>
        <v>0</v>
      </c>
      <c r="AJ188" s="6"/>
      <c r="AK188" s="5">
        <f>ROUND(SUM(AK186:AK187),5)</f>
        <v>0</v>
      </c>
      <c r="AL188" s="6"/>
      <c r="AM188" s="5">
        <f>ROUND(SUM(AM186:AM187),5)</f>
        <v>0</v>
      </c>
      <c r="AN188" s="6"/>
      <c r="AO188" s="5">
        <f>ROUND(SUM(AO186:AO187),5)</f>
        <v>0</v>
      </c>
      <c r="AP188" s="6"/>
      <c r="AQ188" s="5">
        <f>ROUND(SUM(AQ186:AQ187),5)</f>
        <v>0</v>
      </c>
      <c r="AR188" s="6"/>
      <c r="AS188" s="5">
        <f>ROUND(SUM(AS186:AS187),5)</f>
        <v>0</v>
      </c>
      <c r="AT188" s="6"/>
      <c r="AU188" s="5">
        <f>ROUND(SUM(AU186:AU187),5)</f>
        <v>0</v>
      </c>
      <c r="AV188" s="6"/>
      <c r="AW188" s="5">
        <f>ROUND(SUM(G188:AU188),5)</f>
        <v>21829.040000000001</v>
      </c>
    </row>
    <row r="189" spans="1:49" ht="15.75" thickBot="1">
      <c r="A189" s="4"/>
      <c r="B189" s="4" t="s">
        <v>330</v>
      </c>
      <c r="C189" s="4"/>
      <c r="D189" s="4"/>
      <c r="E189" s="4"/>
      <c r="F189" s="4"/>
      <c r="G189" s="5">
        <f>ROUND(G185-G188,5)</f>
        <v>-21829.040000000001</v>
      </c>
      <c r="H189" s="6"/>
      <c r="I189" s="5">
        <f>ROUND(I185-I188,5)</f>
        <v>0</v>
      </c>
      <c r="J189" s="6"/>
      <c r="K189" s="5">
        <f>ROUND(K185-K188,5)</f>
        <v>0</v>
      </c>
      <c r="L189" s="6"/>
      <c r="M189" s="5">
        <f>ROUND(M185-M188,5)</f>
        <v>0</v>
      </c>
      <c r="N189" s="6"/>
      <c r="O189" s="5">
        <f>ROUND(O185-O188,5)</f>
        <v>0</v>
      </c>
      <c r="P189" s="6"/>
      <c r="Q189" s="5">
        <f>ROUND(Q185-Q188,5)</f>
        <v>0</v>
      </c>
      <c r="R189" s="6"/>
      <c r="S189" s="5">
        <f>ROUND(S185-S188,5)</f>
        <v>0</v>
      </c>
      <c r="T189" s="6"/>
      <c r="U189" s="5">
        <f>ROUND(U185-U188,5)</f>
        <v>0</v>
      </c>
      <c r="V189" s="6"/>
      <c r="W189" s="5">
        <f>ROUND(W185-W188,5)</f>
        <v>0</v>
      </c>
      <c r="X189" s="6"/>
      <c r="Y189" s="5">
        <f>ROUND(Y185-Y188,5)</f>
        <v>0</v>
      </c>
      <c r="Z189" s="6"/>
      <c r="AA189" s="5">
        <f>ROUND(AA185-AA188,5)</f>
        <v>0</v>
      </c>
      <c r="AB189" s="6"/>
      <c r="AC189" s="5">
        <f>ROUND(AC185-AC188,5)</f>
        <v>0</v>
      </c>
      <c r="AD189" s="6"/>
      <c r="AE189" s="5">
        <f>ROUND(AE185-AE188,5)</f>
        <v>0</v>
      </c>
      <c r="AF189" s="6"/>
      <c r="AG189" s="5">
        <f>ROUND(AG185-AG188,5)</f>
        <v>0</v>
      </c>
      <c r="AH189" s="6"/>
      <c r="AI189" s="5">
        <f>ROUND(AI185-AI188,5)</f>
        <v>0</v>
      </c>
      <c r="AJ189" s="6"/>
      <c r="AK189" s="5">
        <f>ROUND(AK185-AK188,5)</f>
        <v>0</v>
      </c>
      <c r="AL189" s="6"/>
      <c r="AM189" s="5">
        <f>ROUND(AM185-AM188,5)</f>
        <v>0</v>
      </c>
      <c r="AN189" s="6"/>
      <c r="AO189" s="5">
        <f>ROUND(AO185-AO188,5)</f>
        <v>0</v>
      </c>
      <c r="AP189" s="6"/>
      <c r="AQ189" s="5">
        <f>ROUND(AQ185-AQ188,5)</f>
        <v>0</v>
      </c>
      <c r="AR189" s="6"/>
      <c r="AS189" s="5">
        <f>ROUND(AS185-AS188,5)</f>
        <v>0</v>
      </c>
      <c r="AT189" s="6"/>
      <c r="AU189" s="5">
        <f>ROUND(AU185-AU188,5)</f>
        <v>0</v>
      </c>
      <c r="AV189" s="6"/>
      <c r="AW189" s="5">
        <f>ROUND(SUM(G189:AU189),5)</f>
        <v>-21829.040000000001</v>
      </c>
    </row>
    <row r="190" spans="1:49" s="2" customFormat="1" ht="12" thickBot="1">
      <c r="A190" s="4" t="s">
        <v>78</v>
      </c>
      <c r="B190" s="4"/>
      <c r="C190" s="4"/>
      <c r="D190" s="4"/>
      <c r="E190" s="4"/>
      <c r="F190" s="4"/>
      <c r="G190" s="3">
        <f>ROUND(G184+G189,5)</f>
        <v>210586.29</v>
      </c>
      <c r="H190" s="4"/>
      <c r="I190" s="3">
        <f>ROUND(I184+I189,5)</f>
        <v>-67688.399999999994</v>
      </c>
      <c r="J190" s="4"/>
      <c r="K190" s="3">
        <f>ROUND(K184+K189,5)</f>
        <v>23.89</v>
      </c>
      <c r="L190" s="4"/>
      <c r="M190" s="3">
        <f>ROUND(M184+M189,5)</f>
        <v>-2664.95</v>
      </c>
      <c r="N190" s="4"/>
      <c r="O190" s="3">
        <f>ROUND(O184+O189,5)</f>
        <v>-7939.97</v>
      </c>
      <c r="P190" s="4"/>
      <c r="Q190" s="3">
        <f>ROUND(Q184+Q189,5)</f>
        <v>2652.96</v>
      </c>
      <c r="R190" s="4"/>
      <c r="S190" s="3">
        <f>ROUND(S184+S189,5)</f>
        <v>-8391.5</v>
      </c>
      <c r="T190" s="4"/>
      <c r="U190" s="3">
        <f>ROUND(U184+U189,5)</f>
        <v>259000</v>
      </c>
      <c r="V190" s="4"/>
      <c r="W190" s="3">
        <f>ROUND(W184+W189,5)</f>
        <v>-62000</v>
      </c>
      <c r="X190" s="4"/>
      <c r="Y190" s="3">
        <f>ROUND(Y184+Y189,5)</f>
        <v>42720.18</v>
      </c>
      <c r="Z190" s="4"/>
      <c r="AA190" s="3">
        <f>ROUND(AA184+AA189,5)</f>
        <v>-586.04999999999995</v>
      </c>
      <c r="AB190" s="4"/>
      <c r="AC190" s="3">
        <f>ROUND(AC184+AC189,5)</f>
        <v>26597.79</v>
      </c>
      <c r="AD190" s="4"/>
      <c r="AE190" s="3">
        <f>ROUND(AE184+AE189,5)</f>
        <v>0</v>
      </c>
      <c r="AF190" s="4"/>
      <c r="AG190" s="3">
        <f>ROUND(AG184+AG189,5)</f>
        <v>-12254.29</v>
      </c>
      <c r="AH190" s="4"/>
      <c r="AI190" s="3">
        <f>ROUND(AI184+AI189,5)</f>
        <v>0</v>
      </c>
      <c r="AJ190" s="4"/>
      <c r="AK190" s="3">
        <f>ROUND(AK184+AK189,5)</f>
        <v>-34848.089999999997</v>
      </c>
      <c r="AL190" s="4"/>
      <c r="AM190" s="3">
        <f>ROUND(AM184+AM189,5)</f>
        <v>0</v>
      </c>
      <c r="AN190" s="4"/>
      <c r="AO190" s="3">
        <f>ROUND(AO184+AO189,5)</f>
        <v>0</v>
      </c>
      <c r="AP190" s="4"/>
      <c r="AQ190" s="3">
        <f>ROUND(AQ184+AQ189,5)</f>
        <v>0</v>
      </c>
      <c r="AR190" s="4"/>
      <c r="AS190" s="3">
        <f>ROUND(AS184+AS189,5)</f>
        <v>0</v>
      </c>
      <c r="AT190" s="4"/>
      <c r="AU190" s="3">
        <f>ROUND(AU184+AU189,5)</f>
        <v>0</v>
      </c>
      <c r="AV190" s="4"/>
      <c r="AW190" s="3">
        <f>ROUND(SUM(G190:AU190),5)</f>
        <v>345207.86</v>
      </c>
    </row>
    <row r="191" spans="1:49" ht="15.75" thickTop="1"/>
  </sheetData>
  <pageMargins left="0.7" right="0.7" top="1" bottom="0.75" header="0.1" footer="0.3"/>
  <pageSetup orientation="landscape" r:id="rId1"/>
  <headerFooter>
    <oddHeader>&amp;L&amp;"Arial,Bold"&amp;8 11:46 AM
&amp;"Arial,Bold"&amp;8 07/28/26
&amp;"Arial,Bold"&amp;8 Accrual Basis&amp;C&amp;"Arial,Bold"&amp;12 Believe Schools Inc
&amp;"Arial,Bold"&amp;14 Profit &amp;&amp; Loss
&amp;"Arial,Bold"&amp;10 April through June 2026</oddHeader>
    <oddFooter>&amp;R&amp;"Arial,Bold"&amp;8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3754-4D9D-4038-B846-CC7147C792CC}">
  <dimension ref="A1:BQ251"/>
  <sheetViews>
    <sheetView workbookViewId="0">
      <pane xSplit="6" ySplit="1" topLeftCell="G2" activePane="bottomRight" state="frozenSplit"/>
      <selection pane="bottomRight"/>
      <selection pane="bottomLeft" activeCell="A2" sqref="A2"/>
      <selection pane="topRight" activeCell="G1" sqref="G1"/>
    </sheetView>
  </sheetViews>
  <sheetFormatPr defaultRowHeight="15"/>
  <cols>
    <col min="1" max="5" width="3" style="2" customWidth="1"/>
    <col min="6" max="6" width="31.5703125" style="2" customWidth="1"/>
    <col min="7" max="7" width="18" bestFit="1" customWidth="1"/>
    <col min="8" max="8" width="2.28515625" customWidth="1"/>
    <col min="9" max="9" width="9" bestFit="1" customWidth="1"/>
    <col min="10" max="10" width="2.28515625" customWidth="1"/>
    <col min="11" max="11" width="17.7109375" bestFit="1" customWidth="1"/>
    <col min="12" max="12" width="2.28515625" customWidth="1"/>
    <col min="13" max="13" width="27.7109375" bestFit="1" customWidth="1"/>
    <col min="14" max="14" width="2.28515625" customWidth="1"/>
    <col min="15" max="15" width="17.5703125" bestFit="1" customWidth="1"/>
    <col min="16" max="16" width="2.28515625" customWidth="1"/>
    <col min="17" max="17" width="14.42578125" bestFit="1" customWidth="1"/>
    <col min="18" max="18" width="2.28515625" customWidth="1"/>
    <col min="19" max="19" width="12.5703125" bestFit="1" customWidth="1"/>
    <col min="20" max="20" width="2.28515625" customWidth="1"/>
    <col min="21" max="21" width="20.28515625" bestFit="1" customWidth="1"/>
    <col min="22" max="22" width="2.28515625" customWidth="1"/>
    <col min="23" max="23" width="14.42578125" bestFit="1" customWidth="1"/>
    <col min="24" max="24" width="2.28515625" customWidth="1"/>
    <col min="25" max="25" width="18.140625" bestFit="1" customWidth="1"/>
    <col min="26" max="26" width="2.28515625" customWidth="1"/>
    <col min="27" max="27" width="17.5703125" bestFit="1" customWidth="1"/>
    <col min="28" max="28" width="2.28515625" customWidth="1"/>
    <col min="29" max="29" width="15.85546875" bestFit="1" customWidth="1"/>
    <col min="30" max="30" width="2.28515625" customWidth="1"/>
    <col min="31" max="31" width="14.85546875" bestFit="1" customWidth="1"/>
    <col min="32" max="32" width="2.28515625" customWidth="1"/>
    <col min="33" max="33" width="17.85546875" bestFit="1" customWidth="1"/>
    <col min="34" max="34" width="2.28515625" customWidth="1"/>
    <col min="35" max="35" width="19.42578125" bestFit="1" customWidth="1"/>
    <col min="36" max="36" width="2.28515625" customWidth="1"/>
    <col min="37" max="37" width="17.5703125" bestFit="1" customWidth="1"/>
    <col min="38" max="38" width="2.28515625" customWidth="1"/>
    <col min="39" max="39" width="15.140625" bestFit="1" customWidth="1"/>
    <col min="40" max="40" width="2.28515625" customWidth="1"/>
    <col min="41" max="41" width="23.85546875" bestFit="1" customWidth="1"/>
    <col min="42" max="42" width="2.28515625" customWidth="1"/>
    <col min="43" max="43" width="22.42578125" bestFit="1" customWidth="1"/>
    <col min="44" max="44" width="2.28515625" customWidth="1"/>
    <col min="45" max="45" width="13.7109375" bestFit="1" customWidth="1"/>
    <col min="46" max="46" width="2.28515625" customWidth="1"/>
    <col min="47" max="47" width="19.7109375" bestFit="1" customWidth="1"/>
    <col min="48" max="48" width="2.28515625" customWidth="1"/>
    <col min="49" max="49" width="13.7109375" bestFit="1" customWidth="1"/>
    <col min="50" max="50" width="2.28515625" customWidth="1"/>
    <col min="51" max="51" width="13.7109375" bestFit="1" customWidth="1"/>
    <col min="52" max="52" width="2.28515625" customWidth="1"/>
    <col min="53" max="53" width="17.42578125" bestFit="1" customWidth="1"/>
    <col min="54" max="54" width="2.28515625" customWidth="1"/>
    <col min="55" max="55" width="14.85546875" bestFit="1" customWidth="1"/>
    <col min="56" max="56" width="2.28515625" customWidth="1"/>
    <col min="57" max="57" width="14.85546875" bestFit="1" customWidth="1"/>
    <col min="58" max="58" width="2.28515625" customWidth="1"/>
    <col min="59" max="59" width="14.140625" bestFit="1" customWidth="1"/>
    <col min="60" max="60" width="2.28515625" customWidth="1"/>
    <col min="61" max="61" width="14.140625" bestFit="1" customWidth="1"/>
    <col min="62" max="62" width="2.28515625" customWidth="1"/>
    <col min="63" max="63" width="11" bestFit="1" customWidth="1"/>
    <col min="64" max="64" width="2.28515625" customWidth="1"/>
    <col min="65" max="65" width="11.42578125" bestFit="1" customWidth="1"/>
    <col min="66" max="66" width="2.28515625" customWidth="1"/>
    <col min="67" max="67" width="20.28515625" bestFit="1" customWidth="1"/>
    <col min="68" max="68" width="2.28515625" customWidth="1"/>
    <col min="69" max="69" width="10" bestFit="1" customWidth="1"/>
  </cols>
  <sheetData>
    <row r="1" spans="1:69" s="1" customFormat="1" ht="15.75" thickBot="1">
      <c r="A1" s="12"/>
      <c r="B1" s="12"/>
      <c r="C1" s="12"/>
      <c r="D1" s="12"/>
      <c r="E1" s="12"/>
      <c r="F1" s="12"/>
      <c r="G1" s="10" t="s">
        <v>30</v>
      </c>
      <c r="H1" s="11"/>
      <c r="I1" s="10" t="s">
        <v>6</v>
      </c>
      <c r="J1" s="11"/>
      <c r="K1" s="10" t="s">
        <v>346</v>
      </c>
      <c r="L1" s="11"/>
      <c r="M1" s="10" t="s">
        <v>8</v>
      </c>
      <c r="N1" s="11"/>
      <c r="O1" s="10" t="s">
        <v>331</v>
      </c>
      <c r="P1" s="11"/>
      <c r="Q1" s="10" t="s">
        <v>11</v>
      </c>
      <c r="R1" s="11"/>
      <c r="S1" s="10" t="s">
        <v>332</v>
      </c>
      <c r="T1" s="11"/>
      <c r="U1" s="10" t="s">
        <v>333</v>
      </c>
      <c r="V1" s="11"/>
      <c r="W1" s="10" t="s">
        <v>17</v>
      </c>
      <c r="X1" s="11"/>
      <c r="Y1" s="10" t="s">
        <v>19</v>
      </c>
      <c r="Z1" s="11"/>
      <c r="AA1" s="10" t="s">
        <v>20</v>
      </c>
      <c r="AB1" s="11"/>
      <c r="AC1" s="10" t="s">
        <v>334</v>
      </c>
      <c r="AD1" s="11"/>
      <c r="AE1" s="10" t="s">
        <v>335</v>
      </c>
      <c r="AF1" s="11"/>
      <c r="AG1" s="10" t="s">
        <v>336</v>
      </c>
      <c r="AH1" s="11"/>
      <c r="AI1" s="10" t="s">
        <v>337</v>
      </c>
      <c r="AJ1" s="11"/>
      <c r="AK1" s="10" t="s">
        <v>347</v>
      </c>
      <c r="AL1" s="11"/>
      <c r="AM1" s="10" t="s">
        <v>338</v>
      </c>
      <c r="AN1" s="11"/>
      <c r="AO1" s="10" t="s">
        <v>22</v>
      </c>
      <c r="AP1" s="11"/>
      <c r="AQ1" s="10" t="s">
        <v>339</v>
      </c>
      <c r="AR1" s="11"/>
      <c r="AS1" s="10" t="s">
        <v>23</v>
      </c>
      <c r="AT1" s="11"/>
      <c r="AU1" s="10" t="s">
        <v>340</v>
      </c>
      <c r="AV1" s="11"/>
      <c r="AW1" s="10" t="s">
        <v>348</v>
      </c>
      <c r="AX1" s="11"/>
      <c r="AY1" s="10" t="s">
        <v>24</v>
      </c>
      <c r="AZ1" s="11"/>
      <c r="BA1" s="10" t="s">
        <v>349</v>
      </c>
      <c r="BB1" s="11"/>
      <c r="BC1" s="10" t="s">
        <v>350</v>
      </c>
      <c r="BD1" s="11"/>
      <c r="BE1" s="10" t="s">
        <v>341</v>
      </c>
      <c r="BF1" s="11"/>
      <c r="BG1" s="10" t="s">
        <v>351</v>
      </c>
      <c r="BH1" s="11"/>
      <c r="BI1" s="10" t="s">
        <v>342</v>
      </c>
      <c r="BJ1" s="11"/>
      <c r="BK1" s="10" t="s">
        <v>352</v>
      </c>
      <c r="BL1" s="11"/>
      <c r="BM1" s="10" t="s">
        <v>343</v>
      </c>
      <c r="BN1" s="11"/>
      <c r="BO1" s="10" t="s">
        <v>344</v>
      </c>
      <c r="BP1" s="11"/>
      <c r="BQ1" s="10" t="s">
        <v>345</v>
      </c>
    </row>
    <row r="2" spans="1:69" ht="15.75" thickTop="1">
      <c r="A2" s="4"/>
      <c r="B2" s="4" t="s">
        <v>83</v>
      </c>
      <c r="C2" s="4"/>
      <c r="D2" s="4"/>
      <c r="E2" s="4"/>
      <c r="F2" s="4"/>
      <c r="G2" s="7"/>
      <c r="H2" s="6"/>
      <c r="I2" s="7"/>
      <c r="J2" s="6"/>
      <c r="K2" s="7"/>
      <c r="L2" s="6"/>
      <c r="M2" s="7"/>
      <c r="N2" s="6"/>
      <c r="O2" s="7"/>
      <c r="P2" s="6"/>
      <c r="Q2" s="7"/>
      <c r="R2" s="6"/>
      <c r="S2" s="7"/>
      <c r="T2" s="6"/>
      <c r="U2" s="7"/>
      <c r="V2" s="6"/>
      <c r="W2" s="7"/>
      <c r="X2" s="6"/>
      <c r="Y2" s="7"/>
      <c r="Z2" s="6"/>
      <c r="AA2" s="7"/>
      <c r="AB2" s="6"/>
      <c r="AC2" s="7"/>
      <c r="AD2" s="6"/>
      <c r="AE2" s="7"/>
      <c r="AF2" s="6"/>
      <c r="AG2" s="7"/>
      <c r="AH2" s="6"/>
      <c r="AI2" s="7"/>
      <c r="AJ2" s="6"/>
      <c r="AK2" s="7"/>
      <c r="AL2" s="6"/>
      <c r="AM2" s="7"/>
      <c r="AN2" s="6"/>
      <c r="AO2" s="7"/>
      <c r="AP2" s="6"/>
      <c r="AQ2" s="7"/>
      <c r="AR2" s="6"/>
      <c r="AS2" s="7"/>
      <c r="AT2" s="6"/>
      <c r="AU2" s="7"/>
      <c r="AV2" s="6"/>
      <c r="AW2" s="7"/>
      <c r="AX2" s="6"/>
      <c r="AY2" s="7"/>
      <c r="AZ2" s="6"/>
      <c r="BA2" s="7"/>
      <c r="BB2" s="6"/>
      <c r="BC2" s="7"/>
      <c r="BD2" s="6"/>
      <c r="BE2" s="7"/>
      <c r="BF2" s="6"/>
      <c r="BG2" s="7"/>
      <c r="BH2" s="6"/>
      <c r="BI2" s="7"/>
      <c r="BJ2" s="6"/>
      <c r="BK2" s="7"/>
      <c r="BL2" s="6"/>
      <c r="BM2" s="7"/>
      <c r="BN2" s="6"/>
      <c r="BO2" s="7"/>
      <c r="BP2" s="6"/>
      <c r="BQ2" s="7"/>
    </row>
    <row r="3" spans="1:69">
      <c r="A3" s="4"/>
      <c r="B3" s="4"/>
      <c r="C3" s="4"/>
      <c r="D3" s="4" t="s">
        <v>84</v>
      </c>
      <c r="E3" s="4"/>
      <c r="F3" s="4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6"/>
      <c r="AE3" s="7"/>
      <c r="AF3" s="6"/>
      <c r="AG3" s="7"/>
      <c r="AH3" s="6"/>
      <c r="AI3" s="7"/>
      <c r="AJ3" s="6"/>
      <c r="AK3" s="7"/>
      <c r="AL3" s="6"/>
      <c r="AM3" s="7"/>
      <c r="AN3" s="6"/>
      <c r="AO3" s="7"/>
      <c r="AP3" s="6"/>
      <c r="AQ3" s="7"/>
      <c r="AR3" s="6"/>
      <c r="AS3" s="7"/>
      <c r="AT3" s="6"/>
      <c r="AU3" s="7"/>
      <c r="AV3" s="6"/>
      <c r="AW3" s="7"/>
      <c r="AX3" s="6"/>
      <c r="AY3" s="7"/>
      <c r="AZ3" s="6"/>
      <c r="BA3" s="7"/>
      <c r="BB3" s="6"/>
      <c r="BC3" s="7"/>
      <c r="BD3" s="6"/>
      <c r="BE3" s="7"/>
      <c r="BF3" s="6"/>
      <c r="BG3" s="7"/>
      <c r="BH3" s="6"/>
      <c r="BI3" s="7"/>
      <c r="BJ3" s="6"/>
      <c r="BK3" s="7"/>
      <c r="BL3" s="6"/>
      <c r="BM3" s="7"/>
      <c r="BN3" s="6"/>
      <c r="BO3" s="7"/>
      <c r="BP3" s="6"/>
      <c r="BQ3" s="7"/>
    </row>
    <row r="4" spans="1:69">
      <c r="A4" s="4"/>
      <c r="B4" s="4"/>
      <c r="C4" s="4"/>
      <c r="D4" s="4"/>
      <c r="E4" s="4" t="s">
        <v>85</v>
      </c>
      <c r="F4" s="4"/>
      <c r="G4" s="7">
        <v>134599.72</v>
      </c>
      <c r="H4" s="6"/>
      <c r="I4" s="7">
        <v>0</v>
      </c>
      <c r="J4" s="6"/>
      <c r="K4" s="7">
        <v>0</v>
      </c>
      <c r="L4" s="6"/>
      <c r="M4" s="7">
        <v>0</v>
      </c>
      <c r="N4" s="6"/>
      <c r="O4" s="7">
        <v>0</v>
      </c>
      <c r="P4" s="6"/>
      <c r="Q4" s="7">
        <v>0</v>
      </c>
      <c r="R4" s="6"/>
      <c r="S4" s="7">
        <v>0</v>
      </c>
      <c r="T4" s="6"/>
      <c r="U4" s="7">
        <v>0</v>
      </c>
      <c r="V4" s="6"/>
      <c r="W4" s="7">
        <v>0</v>
      </c>
      <c r="X4" s="6"/>
      <c r="Y4" s="7">
        <v>0</v>
      </c>
      <c r="Z4" s="6"/>
      <c r="AA4" s="7">
        <v>0</v>
      </c>
      <c r="AB4" s="6"/>
      <c r="AC4" s="7">
        <v>0</v>
      </c>
      <c r="AD4" s="6"/>
      <c r="AE4" s="7">
        <v>0</v>
      </c>
      <c r="AF4" s="6"/>
      <c r="AG4" s="7">
        <v>0</v>
      </c>
      <c r="AH4" s="6"/>
      <c r="AI4" s="7">
        <v>0</v>
      </c>
      <c r="AJ4" s="6"/>
      <c r="AK4" s="7">
        <v>0</v>
      </c>
      <c r="AL4" s="6"/>
      <c r="AM4" s="7">
        <v>0</v>
      </c>
      <c r="AN4" s="6"/>
      <c r="AO4" s="7">
        <v>0</v>
      </c>
      <c r="AP4" s="6"/>
      <c r="AQ4" s="7">
        <v>0</v>
      </c>
      <c r="AR4" s="6"/>
      <c r="AS4" s="7">
        <v>0</v>
      </c>
      <c r="AT4" s="6"/>
      <c r="AU4" s="7">
        <v>0</v>
      </c>
      <c r="AV4" s="6"/>
      <c r="AW4" s="7">
        <v>0</v>
      </c>
      <c r="AX4" s="6"/>
      <c r="AY4" s="7">
        <v>0</v>
      </c>
      <c r="AZ4" s="6"/>
      <c r="BA4" s="7">
        <v>0</v>
      </c>
      <c r="BB4" s="6"/>
      <c r="BC4" s="7">
        <v>0</v>
      </c>
      <c r="BD4" s="6"/>
      <c r="BE4" s="7">
        <v>0</v>
      </c>
      <c r="BF4" s="6"/>
      <c r="BG4" s="7">
        <v>0</v>
      </c>
      <c r="BH4" s="6"/>
      <c r="BI4" s="7">
        <v>0</v>
      </c>
      <c r="BJ4" s="6"/>
      <c r="BK4" s="7">
        <v>0</v>
      </c>
      <c r="BL4" s="6"/>
      <c r="BM4" s="7">
        <v>0</v>
      </c>
      <c r="BN4" s="6"/>
      <c r="BO4" s="7">
        <v>0</v>
      </c>
      <c r="BP4" s="6"/>
      <c r="BQ4" s="7">
        <f>ROUND(SUM(G4:BO4),5)</f>
        <v>134599.72</v>
      </c>
    </row>
    <row r="5" spans="1:69">
      <c r="A5" s="4"/>
      <c r="B5" s="4"/>
      <c r="C5" s="4"/>
      <c r="D5" s="4"/>
      <c r="E5" s="4" t="s">
        <v>86</v>
      </c>
      <c r="F5" s="4"/>
      <c r="G5" s="7">
        <v>23136.03</v>
      </c>
      <c r="H5" s="6"/>
      <c r="I5" s="7">
        <v>0</v>
      </c>
      <c r="J5" s="6"/>
      <c r="K5" s="7">
        <v>0</v>
      </c>
      <c r="L5" s="6"/>
      <c r="M5" s="7">
        <v>0</v>
      </c>
      <c r="N5" s="6"/>
      <c r="O5" s="7">
        <v>0</v>
      </c>
      <c r="P5" s="6"/>
      <c r="Q5" s="7">
        <v>0</v>
      </c>
      <c r="R5" s="6"/>
      <c r="S5" s="7">
        <v>0</v>
      </c>
      <c r="T5" s="6"/>
      <c r="U5" s="7">
        <v>0</v>
      </c>
      <c r="V5" s="6"/>
      <c r="W5" s="7">
        <v>0</v>
      </c>
      <c r="X5" s="6"/>
      <c r="Y5" s="7">
        <v>0</v>
      </c>
      <c r="Z5" s="6"/>
      <c r="AA5" s="7">
        <v>0</v>
      </c>
      <c r="AB5" s="6"/>
      <c r="AC5" s="7">
        <v>0</v>
      </c>
      <c r="AD5" s="6"/>
      <c r="AE5" s="7">
        <v>0</v>
      </c>
      <c r="AF5" s="6"/>
      <c r="AG5" s="7">
        <v>0</v>
      </c>
      <c r="AH5" s="6"/>
      <c r="AI5" s="7">
        <v>0</v>
      </c>
      <c r="AJ5" s="6"/>
      <c r="AK5" s="7">
        <v>0</v>
      </c>
      <c r="AL5" s="6"/>
      <c r="AM5" s="7">
        <v>0</v>
      </c>
      <c r="AN5" s="6"/>
      <c r="AO5" s="7">
        <v>0</v>
      </c>
      <c r="AP5" s="6"/>
      <c r="AQ5" s="7">
        <v>0</v>
      </c>
      <c r="AR5" s="6"/>
      <c r="AS5" s="7">
        <v>0</v>
      </c>
      <c r="AT5" s="6"/>
      <c r="AU5" s="7">
        <v>0</v>
      </c>
      <c r="AV5" s="6"/>
      <c r="AW5" s="7">
        <v>0</v>
      </c>
      <c r="AX5" s="6"/>
      <c r="AY5" s="7">
        <v>0</v>
      </c>
      <c r="AZ5" s="6"/>
      <c r="BA5" s="7">
        <v>0</v>
      </c>
      <c r="BB5" s="6"/>
      <c r="BC5" s="7">
        <v>0</v>
      </c>
      <c r="BD5" s="6"/>
      <c r="BE5" s="7">
        <v>0</v>
      </c>
      <c r="BF5" s="6"/>
      <c r="BG5" s="7">
        <v>0</v>
      </c>
      <c r="BH5" s="6"/>
      <c r="BI5" s="7">
        <v>0</v>
      </c>
      <c r="BJ5" s="6"/>
      <c r="BK5" s="7">
        <v>0</v>
      </c>
      <c r="BL5" s="6"/>
      <c r="BM5" s="7">
        <v>0</v>
      </c>
      <c r="BN5" s="6"/>
      <c r="BO5" s="7">
        <v>0</v>
      </c>
      <c r="BP5" s="6"/>
      <c r="BQ5" s="7">
        <f>ROUND(SUM(G5:BO5),5)</f>
        <v>23136.03</v>
      </c>
    </row>
    <row r="6" spans="1:69">
      <c r="A6" s="4"/>
      <c r="B6" s="4"/>
      <c r="C6" s="4"/>
      <c r="D6" s="4"/>
      <c r="E6" s="4" t="s">
        <v>87</v>
      </c>
      <c r="F6" s="4"/>
      <c r="G6" s="7">
        <v>17107.45</v>
      </c>
      <c r="H6" s="6"/>
      <c r="I6" s="7">
        <v>0</v>
      </c>
      <c r="J6" s="6"/>
      <c r="K6" s="7">
        <v>0</v>
      </c>
      <c r="L6" s="6"/>
      <c r="M6" s="7">
        <v>0</v>
      </c>
      <c r="N6" s="6"/>
      <c r="O6" s="7">
        <v>59</v>
      </c>
      <c r="P6" s="6"/>
      <c r="Q6" s="7">
        <v>0</v>
      </c>
      <c r="R6" s="6"/>
      <c r="S6" s="7">
        <v>0</v>
      </c>
      <c r="T6" s="6"/>
      <c r="U6" s="7">
        <v>0</v>
      </c>
      <c r="V6" s="6"/>
      <c r="W6" s="7">
        <v>19777.509999999998</v>
      </c>
      <c r="X6" s="6"/>
      <c r="Y6" s="7">
        <v>0</v>
      </c>
      <c r="Z6" s="6"/>
      <c r="AA6" s="7">
        <v>0</v>
      </c>
      <c r="AB6" s="6"/>
      <c r="AC6" s="7">
        <v>0</v>
      </c>
      <c r="AD6" s="6"/>
      <c r="AE6" s="7">
        <v>0</v>
      </c>
      <c r="AF6" s="6"/>
      <c r="AG6" s="7">
        <v>473.16</v>
      </c>
      <c r="AH6" s="6"/>
      <c r="AI6" s="7">
        <v>0</v>
      </c>
      <c r="AJ6" s="6"/>
      <c r="AK6" s="7">
        <v>0</v>
      </c>
      <c r="AL6" s="6"/>
      <c r="AM6" s="7">
        <v>0</v>
      </c>
      <c r="AN6" s="6"/>
      <c r="AO6" s="7">
        <v>0</v>
      </c>
      <c r="AP6" s="6"/>
      <c r="AQ6" s="7">
        <v>0</v>
      </c>
      <c r="AR6" s="6"/>
      <c r="AS6" s="7">
        <v>0</v>
      </c>
      <c r="AT6" s="6"/>
      <c r="AU6" s="7">
        <v>0</v>
      </c>
      <c r="AV6" s="6"/>
      <c r="AW6" s="7">
        <v>0</v>
      </c>
      <c r="AX6" s="6"/>
      <c r="AY6" s="7">
        <v>0</v>
      </c>
      <c r="AZ6" s="6"/>
      <c r="BA6" s="7">
        <v>0</v>
      </c>
      <c r="BB6" s="6"/>
      <c r="BC6" s="7">
        <v>0</v>
      </c>
      <c r="BD6" s="6"/>
      <c r="BE6" s="7">
        <v>0</v>
      </c>
      <c r="BF6" s="6"/>
      <c r="BG6" s="7">
        <v>0</v>
      </c>
      <c r="BH6" s="6"/>
      <c r="BI6" s="7">
        <v>0</v>
      </c>
      <c r="BJ6" s="6"/>
      <c r="BK6" s="7">
        <v>0</v>
      </c>
      <c r="BL6" s="6"/>
      <c r="BM6" s="7">
        <v>0</v>
      </c>
      <c r="BN6" s="6"/>
      <c r="BO6" s="7">
        <v>0</v>
      </c>
      <c r="BP6" s="6"/>
      <c r="BQ6" s="7">
        <f>ROUND(SUM(G6:BO6),5)</f>
        <v>37417.120000000003</v>
      </c>
    </row>
    <row r="7" spans="1:69">
      <c r="A7" s="4"/>
      <c r="B7" s="4"/>
      <c r="C7" s="4"/>
      <c r="D7" s="4"/>
      <c r="E7" s="4" t="s">
        <v>88</v>
      </c>
      <c r="F7" s="4"/>
      <c r="G7" s="7">
        <v>17749.73</v>
      </c>
      <c r="H7" s="6"/>
      <c r="I7" s="7">
        <v>0</v>
      </c>
      <c r="J7" s="6"/>
      <c r="K7" s="7">
        <v>0</v>
      </c>
      <c r="L7" s="6"/>
      <c r="M7" s="7">
        <v>75870.97</v>
      </c>
      <c r="N7" s="6"/>
      <c r="O7" s="7">
        <v>0</v>
      </c>
      <c r="P7" s="6"/>
      <c r="Q7" s="7">
        <v>0</v>
      </c>
      <c r="R7" s="6"/>
      <c r="S7" s="7">
        <v>0</v>
      </c>
      <c r="T7" s="6"/>
      <c r="U7" s="7">
        <v>0</v>
      </c>
      <c r="V7" s="6"/>
      <c r="W7" s="7">
        <v>0</v>
      </c>
      <c r="X7" s="6"/>
      <c r="Y7" s="7">
        <v>0</v>
      </c>
      <c r="Z7" s="6"/>
      <c r="AA7" s="7">
        <v>0</v>
      </c>
      <c r="AB7" s="6"/>
      <c r="AC7" s="7">
        <v>259000</v>
      </c>
      <c r="AD7" s="6"/>
      <c r="AE7" s="7">
        <v>0</v>
      </c>
      <c r="AF7" s="6"/>
      <c r="AG7" s="7">
        <v>0</v>
      </c>
      <c r="AH7" s="6"/>
      <c r="AI7" s="7">
        <v>0</v>
      </c>
      <c r="AJ7" s="6"/>
      <c r="AK7" s="7">
        <v>0</v>
      </c>
      <c r="AL7" s="6"/>
      <c r="AM7" s="7">
        <v>0</v>
      </c>
      <c r="AN7" s="6"/>
      <c r="AO7" s="7">
        <v>0</v>
      </c>
      <c r="AP7" s="6"/>
      <c r="AQ7" s="7">
        <v>0</v>
      </c>
      <c r="AR7" s="6"/>
      <c r="AS7" s="7">
        <v>0</v>
      </c>
      <c r="AT7" s="6"/>
      <c r="AU7" s="7">
        <v>0</v>
      </c>
      <c r="AV7" s="6"/>
      <c r="AW7" s="7">
        <v>0</v>
      </c>
      <c r="AX7" s="6"/>
      <c r="AY7" s="7">
        <v>0</v>
      </c>
      <c r="AZ7" s="6"/>
      <c r="BA7" s="7">
        <v>0</v>
      </c>
      <c r="BB7" s="6"/>
      <c r="BC7" s="7">
        <v>0</v>
      </c>
      <c r="BD7" s="6"/>
      <c r="BE7" s="7">
        <v>0</v>
      </c>
      <c r="BF7" s="6"/>
      <c r="BG7" s="7">
        <v>0</v>
      </c>
      <c r="BH7" s="6"/>
      <c r="BI7" s="7">
        <v>0</v>
      </c>
      <c r="BJ7" s="6"/>
      <c r="BK7" s="7">
        <v>0</v>
      </c>
      <c r="BL7" s="6"/>
      <c r="BM7" s="7">
        <v>0</v>
      </c>
      <c r="BN7" s="6"/>
      <c r="BO7" s="7">
        <v>0</v>
      </c>
      <c r="BP7" s="6"/>
      <c r="BQ7" s="7">
        <f>ROUND(SUM(G7:BO7),5)</f>
        <v>352620.7</v>
      </c>
    </row>
    <row r="8" spans="1:69">
      <c r="A8" s="4"/>
      <c r="B8" s="4"/>
      <c r="C8" s="4"/>
      <c r="D8" s="4"/>
      <c r="E8" s="4" t="s">
        <v>89</v>
      </c>
      <c r="F8" s="4"/>
      <c r="G8" s="7">
        <v>0</v>
      </c>
      <c r="H8" s="6"/>
      <c r="I8" s="7">
        <v>0</v>
      </c>
      <c r="J8" s="6"/>
      <c r="K8" s="7">
        <v>0</v>
      </c>
      <c r="L8" s="6"/>
      <c r="M8" s="7">
        <v>0</v>
      </c>
      <c r="N8" s="6"/>
      <c r="O8" s="7">
        <v>0</v>
      </c>
      <c r="P8" s="6"/>
      <c r="Q8" s="7">
        <v>0</v>
      </c>
      <c r="R8" s="6"/>
      <c r="S8" s="7">
        <v>0</v>
      </c>
      <c r="T8" s="6"/>
      <c r="U8" s="7">
        <v>0</v>
      </c>
      <c r="V8" s="6"/>
      <c r="W8" s="7">
        <v>0</v>
      </c>
      <c r="X8" s="6"/>
      <c r="Y8" s="7">
        <v>0</v>
      </c>
      <c r="Z8" s="6"/>
      <c r="AA8" s="7">
        <v>0</v>
      </c>
      <c r="AB8" s="6"/>
      <c r="AC8" s="7">
        <v>0</v>
      </c>
      <c r="AD8" s="6"/>
      <c r="AE8" s="7">
        <v>0</v>
      </c>
      <c r="AF8" s="6"/>
      <c r="AG8" s="7">
        <v>0</v>
      </c>
      <c r="AH8" s="6"/>
      <c r="AI8" s="7">
        <v>0</v>
      </c>
      <c r="AJ8" s="6"/>
      <c r="AK8" s="7">
        <v>0</v>
      </c>
      <c r="AL8" s="6"/>
      <c r="AM8" s="7">
        <v>0</v>
      </c>
      <c r="AN8" s="6"/>
      <c r="AO8" s="7">
        <v>0</v>
      </c>
      <c r="AP8" s="6"/>
      <c r="AQ8" s="7">
        <v>0</v>
      </c>
      <c r="AR8" s="6"/>
      <c r="AS8" s="7">
        <v>0</v>
      </c>
      <c r="AT8" s="6"/>
      <c r="AU8" s="7">
        <v>0</v>
      </c>
      <c r="AV8" s="6"/>
      <c r="AW8" s="7">
        <v>0</v>
      </c>
      <c r="AX8" s="6"/>
      <c r="AY8" s="7">
        <v>0</v>
      </c>
      <c r="AZ8" s="6"/>
      <c r="BA8" s="7">
        <v>0</v>
      </c>
      <c r="BB8" s="6"/>
      <c r="BC8" s="7">
        <v>0</v>
      </c>
      <c r="BD8" s="6"/>
      <c r="BE8" s="7">
        <v>0</v>
      </c>
      <c r="BF8" s="6"/>
      <c r="BG8" s="7">
        <v>0</v>
      </c>
      <c r="BH8" s="6"/>
      <c r="BI8" s="7">
        <v>0</v>
      </c>
      <c r="BJ8" s="6"/>
      <c r="BK8" s="7">
        <v>0</v>
      </c>
      <c r="BL8" s="6"/>
      <c r="BM8" s="7">
        <v>0</v>
      </c>
      <c r="BN8" s="6"/>
      <c r="BO8" s="7">
        <v>0</v>
      </c>
      <c r="BP8" s="6"/>
      <c r="BQ8" s="7">
        <f>ROUND(SUM(G8:BO8),5)</f>
        <v>0</v>
      </c>
    </row>
    <row r="9" spans="1:69">
      <c r="A9" s="4"/>
      <c r="B9" s="4"/>
      <c r="C9" s="4"/>
      <c r="D9" s="4"/>
      <c r="E9" s="4" t="s">
        <v>90</v>
      </c>
      <c r="F9" s="4"/>
      <c r="G9" s="7">
        <v>19490.95</v>
      </c>
      <c r="H9" s="6"/>
      <c r="I9" s="7">
        <v>0</v>
      </c>
      <c r="J9" s="6"/>
      <c r="K9" s="7">
        <v>0</v>
      </c>
      <c r="L9" s="6"/>
      <c r="M9" s="7">
        <v>0</v>
      </c>
      <c r="N9" s="6"/>
      <c r="O9" s="7">
        <v>1443.85</v>
      </c>
      <c r="P9" s="6"/>
      <c r="Q9" s="7">
        <v>0</v>
      </c>
      <c r="R9" s="6"/>
      <c r="S9" s="7">
        <v>0</v>
      </c>
      <c r="T9" s="6"/>
      <c r="U9" s="7">
        <v>0</v>
      </c>
      <c r="V9" s="6"/>
      <c r="W9" s="7">
        <v>185.36</v>
      </c>
      <c r="X9" s="6"/>
      <c r="Y9" s="7">
        <v>0</v>
      </c>
      <c r="Z9" s="6"/>
      <c r="AA9" s="7">
        <v>1979.97</v>
      </c>
      <c r="AB9" s="6"/>
      <c r="AC9" s="7">
        <v>0</v>
      </c>
      <c r="AD9" s="6"/>
      <c r="AE9" s="7">
        <v>0</v>
      </c>
      <c r="AF9" s="6"/>
      <c r="AG9" s="7">
        <v>0</v>
      </c>
      <c r="AH9" s="6"/>
      <c r="AI9" s="7">
        <v>0</v>
      </c>
      <c r="AJ9" s="6"/>
      <c r="AK9" s="7">
        <v>0</v>
      </c>
      <c r="AL9" s="6"/>
      <c r="AM9" s="7">
        <v>0</v>
      </c>
      <c r="AN9" s="6"/>
      <c r="AO9" s="7">
        <v>0</v>
      </c>
      <c r="AP9" s="6"/>
      <c r="AQ9" s="7">
        <v>0</v>
      </c>
      <c r="AR9" s="6"/>
      <c r="AS9" s="7">
        <v>0</v>
      </c>
      <c r="AT9" s="6"/>
      <c r="AU9" s="7">
        <v>0</v>
      </c>
      <c r="AV9" s="6"/>
      <c r="AW9" s="7">
        <v>0</v>
      </c>
      <c r="AX9" s="6"/>
      <c r="AY9" s="7">
        <v>0</v>
      </c>
      <c r="AZ9" s="6"/>
      <c r="BA9" s="7">
        <v>0</v>
      </c>
      <c r="BB9" s="6"/>
      <c r="BC9" s="7">
        <v>0</v>
      </c>
      <c r="BD9" s="6"/>
      <c r="BE9" s="7">
        <v>0</v>
      </c>
      <c r="BF9" s="6"/>
      <c r="BG9" s="7">
        <v>0</v>
      </c>
      <c r="BH9" s="6"/>
      <c r="BI9" s="7">
        <v>0</v>
      </c>
      <c r="BJ9" s="6"/>
      <c r="BK9" s="7">
        <v>0</v>
      </c>
      <c r="BL9" s="6"/>
      <c r="BM9" s="7">
        <v>0</v>
      </c>
      <c r="BN9" s="6"/>
      <c r="BO9" s="7">
        <v>0</v>
      </c>
      <c r="BP9" s="6"/>
      <c r="BQ9" s="7">
        <f>ROUND(SUM(G9:BO9),5)</f>
        <v>23100.13</v>
      </c>
    </row>
    <row r="10" spans="1:69">
      <c r="A10" s="4"/>
      <c r="B10" s="4"/>
      <c r="C10" s="4"/>
      <c r="D10" s="4"/>
      <c r="E10" s="4" t="s">
        <v>91</v>
      </c>
      <c r="F10" s="4"/>
      <c r="G10" s="7">
        <v>2756335.74</v>
      </c>
      <c r="H10" s="6"/>
      <c r="I10" s="7">
        <v>0</v>
      </c>
      <c r="J10" s="6"/>
      <c r="K10" s="7">
        <v>0</v>
      </c>
      <c r="L10" s="6"/>
      <c r="M10" s="7">
        <v>0</v>
      </c>
      <c r="N10" s="6"/>
      <c r="O10" s="7">
        <v>0</v>
      </c>
      <c r="P10" s="6"/>
      <c r="Q10" s="7">
        <v>0</v>
      </c>
      <c r="R10" s="6"/>
      <c r="S10" s="7">
        <v>0</v>
      </c>
      <c r="T10" s="6"/>
      <c r="U10" s="7">
        <v>0</v>
      </c>
      <c r="V10" s="6"/>
      <c r="W10" s="7">
        <v>0</v>
      </c>
      <c r="X10" s="6"/>
      <c r="Y10" s="7">
        <v>0</v>
      </c>
      <c r="Z10" s="6"/>
      <c r="AA10" s="7">
        <v>0</v>
      </c>
      <c r="AB10" s="6"/>
      <c r="AC10" s="7">
        <v>0</v>
      </c>
      <c r="AD10" s="6"/>
      <c r="AE10" s="7">
        <v>127500</v>
      </c>
      <c r="AF10" s="6"/>
      <c r="AG10" s="7">
        <v>0</v>
      </c>
      <c r="AH10" s="6"/>
      <c r="AI10" s="7">
        <v>0</v>
      </c>
      <c r="AJ10" s="6"/>
      <c r="AK10" s="7">
        <v>0</v>
      </c>
      <c r="AL10" s="6"/>
      <c r="AM10" s="7">
        <v>0</v>
      </c>
      <c r="AN10" s="6"/>
      <c r="AO10" s="7">
        <v>0</v>
      </c>
      <c r="AP10" s="6"/>
      <c r="AQ10" s="7">
        <v>0</v>
      </c>
      <c r="AR10" s="6"/>
      <c r="AS10" s="7">
        <v>0</v>
      </c>
      <c r="AT10" s="6"/>
      <c r="AU10" s="7">
        <v>0</v>
      </c>
      <c r="AV10" s="6"/>
      <c r="AW10" s="7">
        <v>0</v>
      </c>
      <c r="AX10" s="6"/>
      <c r="AY10" s="7">
        <v>0</v>
      </c>
      <c r="AZ10" s="6"/>
      <c r="BA10" s="7">
        <v>0</v>
      </c>
      <c r="BB10" s="6"/>
      <c r="BC10" s="7">
        <v>0</v>
      </c>
      <c r="BD10" s="6"/>
      <c r="BE10" s="7">
        <v>0</v>
      </c>
      <c r="BF10" s="6"/>
      <c r="BG10" s="7">
        <v>0</v>
      </c>
      <c r="BH10" s="6"/>
      <c r="BI10" s="7">
        <v>0</v>
      </c>
      <c r="BJ10" s="6"/>
      <c r="BK10" s="7">
        <v>0</v>
      </c>
      <c r="BL10" s="6"/>
      <c r="BM10" s="7">
        <v>0</v>
      </c>
      <c r="BN10" s="6"/>
      <c r="BO10" s="7">
        <v>0</v>
      </c>
      <c r="BP10" s="6"/>
      <c r="BQ10" s="7">
        <f>ROUND(SUM(G10:BO10),5)</f>
        <v>2883835.74</v>
      </c>
    </row>
    <row r="11" spans="1:69">
      <c r="A11" s="4"/>
      <c r="B11" s="4"/>
      <c r="C11" s="4"/>
      <c r="D11" s="4"/>
      <c r="E11" s="4" t="s">
        <v>92</v>
      </c>
      <c r="F11" s="4"/>
      <c r="G11" s="7">
        <v>0</v>
      </c>
      <c r="H11" s="6"/>
      <c r="I11" s="7">
        <v>0</v>
      </c>
      <c r="J11" s="6"/>
      <c r="K11" s="7">
        <v>0</v>
      </c>
      <c r="L11" s="6"/>
      <c r="M11" s="7">
        <v>0</v>
      </c>
      <c r="N11" s="6"/>
      <c r="O11" s="7">
        <v>0</v>
      </c>
      <c r="P11" s="6"/>
      <c r="Q11" s="7">
        <v>0</v>
      </c>
      <c r="R11" s="6"/>
      <c r="S11" s="7">
        <v>0</v>
      </c>
      <c r="T11" s="6"/>
      <c r="U11" s="7">
        <v>0</v>
      </c>
      <c r="V11" s="6"/>
      <c r="W11" s="7">
        <v>0</v>
      </c>
      <c r="X11" s="6"/>
      <c r="Y11" s="7">
        <v>0</v>
      </c>
      <c r="Z11" s="6"/>
      <c r="AA11" s="7">
        <v>0</v>
      </c>
      <c r="AB11" s="6"/>
      <c r="AC11" s="7">
        <v>0</v>
      </c>
      <c r="AD11" s="6"/>
      <c r="AE11" s="7">
        <v>0</v>
      </c>
      <c r="AF11" s="6"/>
      <c r="AG11" s="7">
        <v>0</v>
      </c>
      <c r="AH11" s="6"/>
      <c r="AI11" s="7">
        <v>0</v>
      </c>
      <c r="AJ11" s="6"/>
      <c r="AK11" s="7">
        <v>0</v>
      </c>
      <c r="AL11" s="6"/>
      <c r="AM11" s="7">
        <v>0</v>
      </c>
      <c r="AN11" s="6"/>
      <c r="AO11" s="7">
        <v>0</v>
      </c>
      <c r="AP11" s="6"/>
      <c r="AQ11" s="7">
        <v>0</v>
      </c>
      <c r="AR11" s="6"/>
      <c r="AS11" s="7">
        <v>0</v>
      </c>
      <c r="AT11" s="6"/>
      <c r="AU11" s="7">
        <v>0</v>
      </c>
      <c r="AV11" s="6"/>
      <c r="AW11" s="7">
        <v>0</v>
      </c>
      <c r="AX11" s="6"/>
      <c r="AY11" s="7">
        <v>0</v>
      </c>
      <c r="AZ11" s="6"/>
      <c r="BA11" s="7">
        <v>0</v>
      </c>
      <c r="BB11" s="6"/>
      <c r="BC11" s="7">
        <v>0</v>
      </c>
      <c r="BD11" s="6"/>
      <c r="BE11" s="7">
        <v>0</v>
      </c>
      <c r="BF11" s="6"/>
      <c r="BG11" s="7">
        <v>0</v>
      </c>
      <c r="BH11" s="6"/>
      <c r="BI11" s="7">
        <v>0</v>
      </c>
      <c r="BJ11" s="6"/>
      <c r="BK11" s="7">
        <v>0</v>
      </c>
      <c r="BL11" s="6"/>
      <c r="BM11" s="7">
        <v>0</v>
      </c>
      <c r="BN11" s="6"/>
      <c r="BO11" s="7">
        <v>0</v>
      </c>
      <c r="BP11" s="6"/>
      <c r="BQ11" s="7">
        <f>ROUND(SUM(G11:BO11),5)</f>
        <v>0</v>
      </c>
    </row>
    <row r="12" spans="1:69">
      <c r="A12" s="4"/>
      <c r="B12" s="4"/>
      <c r="C12" s="4"/>
      <c r="D12" s="4"/>
      <c r="E12" s="4" t="s">
        <v>93</v>
      </c>
      <c r="F12" s="4"/>
      <c r="G12" s="7">
        <v>0</v>
      </c>
      <c r="H12" s="6"/>
      <c r="I12" s="7">
        <v>0</v>
      </c>
      <c r="J12" s="6"/>
      <c r="K12" s="7">
        <v>124843.8</v>
      </c>
      <c r="L12" s="6"/>
      <c r="M12" s="7">
        <v>0</v>
      </c>
      <c r="N12" s="6"/>
      <c r="O12" s="7">
        <v>0</v>
      </c>
      <c r="P12" s="6"/>
      <c r="Q12" s="7">
        <v>0</v>
      </c>
      <c r="R12" s="6"/>
      <c r="S12" s="7">
        <v>0</v>
      </c>
      <c r="T12" s="6"/>
      <c r="U12" s="7">
        <v>0</v>
      </c>
      <c r="V12" s="6"/>
      <c r="W12" s="7">
        <v>0</v>
      </c>
      <c r="X12" s="6"/>
      <c r="Y12" s="7">
        <v>0</v>
      </c>
      <c r="Z12" s="6"/>
      <c r="AA12" s="7">
        <v>0</v>
      </c>
      <c r="AB12" s="6"/>
      <c r="AC12" s="7">
        <v>0</v>
      </c>
      <c r="AD12" s="6"/>
      <c r="AE12" s="7">
        <v>0</v>
      </c>
      <c r="AF12" s="6"/>
      <c r="AG12" s="7">
        <v>0</v>
      </c>
      <c r="AH12" s="6"/>
      <c r="AI12" s="7">
        <v>0</v>
      </c>
      <c r="AJ12" s="6"/>
      <c r="AK12" s="7">
        <v>0</v>
      </c>
      <c r="AL12" s="6"/>
      <c r="AM12" s="7">
        <v>0</v>
      </c>
      <c r="AN12" s="6"/>
      <c r="AO12" s="7">
        <v>0</v>
      </c>
      <c r="AP12" s="6"/>
      <c r="AQ12" s="7">
        <v>0</v>
      </c>
      <c r="AR12" s="6"/>
      <c r="AS12" s="7">
        <v>0</v>
      </c>
      <c r="AT12" s="6"/>
      <c r="AU12" s="7">
        <v>0</v>
      </c>
      <c r="AV12" s="6"/>
      <c r="AW12" s="7">
        <v>0</v>
      </c>
      <c r="AX12" s="6"/>
      <c r="AY12" s="7">
        <v>0</v>
      </c>
      <c r="AZ12" s="6"/>
      <c r="BA12" s="7">
        <v>0</v>
      </c>
      <c r="BB12" s="6"/>
      <c r="BC12" s="7">
        <v>0</v>
      </c>
      <c r="BD12" s="6"/>
      <c r="BE12" s="7">
        <v>0</v>
      </c>
      <c r="BF12" s="6"/>
      <c r="BG12" s="7">
        <v>0</v>
      </c>
      <c r="BH12" s="6"/>
      <c r="BI12" s="7">
        <v>0</v>
      </c>
      <c r="BJ12" s="6"/>
      <c r="BK12" s="7">
        <v>0</v>
      </c>
      <c r="BL12" s="6"/>
      <c r="BM12" s="7">
        <v>0</v>
      </c>
      <c r="BN12" s="6"/>
      <c r="BO12" s="7">
        <v>0</v>
      </c>
      <c r="BP12" s="6"/>
      <c r="BQ12" s="7">
        <f>ROUND(SUM(G12:BO12),5)</f>
        <v>124843.8</v>
      </c>
    </row>
    <row r="13" spans="1:69">
      <c r="A13" s="4"/>
      <c r="B13" s="4"/>
      <c r="C13" s="4"/>
      <c r="D13" s="4"/>
      <c r="E13" s="4" t="s">
        <v>94</v>
      </c>
      <c r="F13" s="4"/>
      <c r="G13" s="7">
        <v>0</v>
      </c>
      <c r="H13" s="6"/>
      <c r="I13" s="7">
        <v>0</v>
      </c>
      <c r="J13" s="6"/>
      <c r="K13" s="7">
        <v>0</v>
      </c>
      <c r="L13" s="6"/>
      <c r="M13" s="7">
        <v>0</v>
      </c>
      <c r="N13" s="6"/>
      <c r="O13" s="7">
        <v>0</v>
      </c>
      <c r="P13" s="6"/>
      <c r="Q13" s="7">
        <v>0</v>
      </c>
      <c r="R13" s="6"/>
      <c r="S13" s="7">
        <v>0</v>
      </c>
      <c r="T13" s="6"/>
      <c r="U13" s="7">
        <v>0</v>
      </c>
      <c r="V13" s="6"/>
      <c r="W13" s="7">
        <v>0</v>
      </c>
      <c r="X13" s="6"/>
      <c r="Y13" s="7">
        <v>0</v>
      </c>
      <c r="Z13" s="6"/>
      <c r="AA13" s="7">
        <v>0</v>
      </c>
      <c r="AB13" s="6"/>
      <c r="AC13" s="7">
        <v>0</v>
      </c>
      <c r="AD13" s="6"/>
      <c r="AE13" s="7">
        <v>0</v>
      </c>
      <c r="AF13" s="6"/>
      <c r="AG13" s="7">
        <v>0</v>
      </c>
      <c r="AH13" s="6"/>
      <c r="AI13" s="7">
        <v>0</v>
      </c>
      <c r="AJ13" s="6"/>
      <c r="AK13" s="7">
        <v>0</v>
      </c>
      <c r="AL13" s="6"/>
      <c r="AM13" s="7">
        <v>0</v>
      </c>
      <c r="AN13" s="6"/>
      <c r="AO13" s="7">
        <v>0</v>
      </c>
      <c r="AP13" s="6"/>
      <c r="AQ13" s="7">
        <v>0</v>
      </c>
      <c r="AR13" s="6"/>
      <c r="AS13" s="7">
        <v>0</v>
      </c>
      <c r="AT13" s="6"/>
      <c r="AU13" s="7">
        <v>429800</v>
      </c>
      <c r="AV13" s="6"/>
      <c r="AW13" s="7">
        <v>0</v>
      </c>
      <c r="AX13" s="6"/>
      <c r="AY13" s="7">
        <v>0</v>
      </c>
      <c r="AZ13" s="6"/>
      <c r="BA13" s="7">
        <v>0</v>
      </c>
      <c r="BB13" s="6"/>
      <c r="BC13" s="7">
        <v>0</v>
      </c>
      <c r="BD13" s="6"/>
      <c r="BE13" s="7">
        <v>0</v>
      </c>
      <c r="BF13" s="6"/>
      <c r="BG13" s="7">
        <v>0</v>
      </c>
      <c r="BH13" s="6"/>
      <c r="BI13" s="7">
        <v>0</v>
      </c>
      <c r="BJ13" s="6"/>
      <c r="BK13" s="7">
        <v>0</v>
      </c>
      <c r="BL13" s="6"/>
      <c r="BM13" s="7">
        <v>0</v>
      </c>
      <c r="BN13" s="6"/>
      <c r="BO13" s="7">
        <v>0</v>
      </c>
      <c r="BP13" s="6"/>
      <c r="BQ13" s="7">
        <f>ROUND(SUM(G13:BO13),5)</f>
        <v>429800</v>
      </c>
    </row>
    <row r="14" spans="1:69">
      <c r="A14" s="4"/>
      <c r="B14" s="4"/>
      <c r="C14" s="4"/>
      <c r="D14" s="4"/>
      <c r="E14" s="4" t="s">
        <v>95</v>
      </c>
      <c r="F14" s="4"/>
      <c r="G14" s="7">
        <v>0</v>
      </c>
      <c r="H14" s="6"/>
      <c r="I14" s="7">
        <v>0</v>
      </c>
      <c r="J14" s="6"/>
      <c r="K14" s="7">
        <v>0</v>
      </c>
      <c r="L14" s="6"/>
      <c r="M14" s="7">
        <v>0</v>
      </c>
      <c r="N14" s="6"/>
      <c r="O14" s="7">
        <v>0</v>
      </c>
      <c r="P14" s="6"/>
      <c r="Q14" s="7">
        <v>0</v>
      </c>
      <c r="R14" s="6"/>
      <c r="S14" s="7">
        <v>0</v>
      </c>
      <c r="T14" s="6"/>
      <c r="U14" s="7">
        <v>0</v>
      </c>
      <c r="V14" s="6"/>
      <c r="W14" s="7">
        <v>0</v>
      </c>
      <c r="X14" s="6"/>
      <c r="Y14" s="7">
        <v>0</v>
      </c>
      <c r="Z14" s="6"/>
      <c r="AA14" s="7">
        <v>0</v>
      </c>
      <c r="AB14" s="6"/>
      <c r="AC14" s="7">
        <v>0</v>
      </c>
      <c r="AD14" s="6"/>
      <c r="AE14" s="7">
        <v>0</v>
      </c>
      <c r="AF14" s="6"/>
      <c r="AG14" s="7">
        <v>0</v>
      </c>
      <c r="AH14" s="6"/>
      <c r="AI14" s="7">
        <v>0</v>
      </c>
      <c r="AJ14" s="6"/>
      <c r="AK14" s="7">
        <v>0</v>
      </c>
      <c r="AL14" s="6"/>
      <c r="AM14" s="7">
        <v>0</v>
      </c>
      <c r="AN14" s="6"/>
      <c r="AO14" s="7">
        <v>2999.68</v>
      </c>
      <c r="AP14" s="6"/>
      <c r="AQ14" s="7">
        <v>0</v>
      </c>
      <c r="AR14" s="6"/>
      <c r="AS14" s="7">
        <v>0</v>
      </c>
      <c r="AT14" s="6"/>
      <c r="AU14" s="7">
        <v>0</v>
      </c>
      <c r="AV14" s="6"/>
      <c r="AW14" s="7">
        <v>0</v>
      </c>
      <c r="AX14" s="6"/>
      <c r="AY14" s="7">
        <v>0</v>
      </c>
      <c r="AZ14" s="6"/>
      <c r="BA14" s="7">
        <v>0</v>
      </c>
      <c r="BB14" s="6"/>
      <c r="BC14" s="7">
        <v>0</v>
      </c>
      <c r="BD14" s="6"/>
      <c r="BE14" s="7">
        <v>0</v>
      </c>
      <c r="BF14" s="6"/>
      <c r="BG14" s="7">
        <v>0</v>
      </c>
      <c r="BH14" s="6"/>
      <c r="BI14" s="7">
        <v>0</v>
      </c>
      <c r="BJ14" s="6"/>
      <c r="BK14" s="7">
        <v>0</v>
      </c>
      <c r="BL14" s="6"/>
      <c r="BM14" s="7">
        <v>0</v>
      </c>
      <c r="BN14" s="6"/>
      <c r="BO14" s="7">
        <v>0</v>
      </c>
      <c r="BP14" s="6"/>
      <c r="BQ14" s="7">
        <f>ROUND(SUM(G14:BO14),5)</f>
        <v>2999.68</v>
      </c>
    </row>
    <row r="15" spans="1:69">
      <c r="A15" s="4"/>
      <c r="B15" s="4"/>
      <c r="C15" s="4"/>
      <c r="D15" s="4"/>
      <c r="E15" s="4" t="s">
        <v>96</v>
      </c>
      <c r="F15" s="4"/>
      <c r="G15" s="7">
        <v>0</v>
      </c>
      <c r="H15" s="6"/>
      <c r="I15" s="7">
        <v>0</v>
      </c>
      <c r="J15" s="6"/>
      <c r="K15" s="7">
        <v>0</v>
      </c>
      <c r="L15" s="6"/>
      <c r="M15" s="7">
        <v>0</v>
      </c>
      <c r="N15" s="6"/>
      <c r="O15" s="7">
        <v>0</v>
      </c>
      <c r="P15" s="6"/>
      <c r="Q15" s="7">
        <v>0</v>
      </c>
      <c r="R15" s="6"/>
      <c r="S15" s="7">
        <v>0</v>
      </c>
      <c r="T15" s="6"/>
      <c r="U15" s="7">
        <v>0</v>
      </c>
      <c r="V15" s="6"/>
      <c r="W15" s="7">
        <v>0</v>
      </c>
      <c r="X15" s="6"/>
      <c r="Y15" s="7">
        <v>0</v>
      </c>
      <c r="Z15" s="6"/>
      <c r="AA15" s="7">
        <v>0</v>
      </c>
      <c r="AB15" s="6"/>
      <c r="AC15" s="7">
        <v>0</v>
      </c>
      <c r="AD15" s="6"/>
      <c r="AE15" s="7">
        <v>0</v>
      </c>
      <c r="AF15" s="6"/>
      <c r="AG15" s="7">
        <v>0</v>
      </c>
      <c r="AH15" s="6"/>
      <c r="AI15" s="7">
        <v>0</v>
      </c>
      <c r="AJ15" s="6"/>
      <c r="AK15" s="7">
        <v>0</v>
      </c>
      <c r="AL15" s="6"/>
      <c r="AM15" s="7">
        <v>0</v>
      </c>
      <c r="AN15" s="6"/>
      <c r="AO15" s="7">
        <v>0</v>
      </c>
      <c r="AP15" s="6"/>
      <c r="AQ15" s="7">
        <v>0</v>
      </c>
      <c r="AR15" s="6"/>
      <c r="AS15" s="7">
        <v>22413.99</v>
      </c>
      <c r="AT15" s="6"/>
      <c r="AU15" s="7">
        <v>0</v>
      </c>
      <c r="AV15" s="6"/>
      <c r="AW15" s="7">
        <v>0</v>
      </c>
      <c r="AX15" s="6"/>
      <c r="AY15" s="7">
        <v>0</v>
      </c>
      <c r="AZ15" s="6"/>
      <c r="BA15" s="7">
        <v>0</v>
      </c>
      <c r="BB15" s="6"/>
      <c r="BC15" s="7">
        <v>0</v>
      </c>
      <c r="BD15" s="6"/>
      <c r="BE15" s="7">
        <v>0</v>
      </c>
      <c r="BF15" s="6"/>
      <c r="BG15" s="7">
        <v>0</v>
      </c>
      <c r="BH15" s="6"/>
      <c r="BI15" s="7">
        <v>0</v>
      </c>
      <c r="BJ15" s="6"/>
      <c r="BK15" s="7">
        <v>0</v>
      </c>
      <c r="BL15" s="6"/>
      <c r="BM15" s="7">
        <v>0</v>
      </c>
      <c r="BN15" s="6"/>
      <c r="BO15" s="7">
        <v>0</v>
      </c>
      <c r="BP15" s="6"/>
      <c r="BQ15" s="7">
        <f>ROUND(SUM(G15:BO15),5)</f>
        <v>22413.99</v>
      </c>
    </row>
    <row r="16" spans="1:69">
      <c r="A16" s="4"/>
      <c r="B16" s="4"/>
      <c r="C16" s="4"/>
      <c r="D16" s="4"/>
      <c r="E16" s="4" t="s">
        <v>97</v>
      </c>
      <c r="F16" s="4"/>
      <c r="G16" s="7">
        <v>0</v>
      </c>
      <c r="H16" s="6"/>
      <c r="I16" s="7">
        <v>0</v>
      </c>
      <c r="J16" s="6"/>
      <c r="K16" s="7">
        <v>0</v>
      </c>
      <c r="L16" s="6"/>
      <c r="M16" s="7">
        <v>0</v>
      </c>
      <c r="N16" s="6"/>
      <c r="O16" s="7">
        <v>0</v>
      </c>
      <c r="P16" s="6"/>
      <c r="Q16" s="7">
        <v>0</v>
      </c>
      <c r="R16" s="6"/>
      <c r="S16" s="7">
        <v>0</v>
      </c>
      <c r="T16" s="6"/>
      <c r="U16" s="7">
        <v>0</v>
      </c>
      <c r="V16" s="6"/>
      <c r="W16" s="7">
        <v>0</v>
      </c>
      <c r="X16" s="6"/>
      <c r="Y16" s="7">
        <v>0</v>
      </c>
      <c r="Z16" s="6"/>
      <c r="AA16" s="7">
        <v>0</v>
      </c>
      <c r="AB16" s="6"/>
      <c r="AC16" s="7">
        <v>0</v>
      </c>
      <c r="AD16" s="6"/>
      <c r="AE16" s="7">
        <v>0</v>
      </c>
      <c r="AF16" s="6"/>
      <c r="AG16" s="7">
        <v>0</v>
      </c>
      <c r="AH16" s="6"/>
      <c r="AI16" s="7">
        <v>0</v>
      </c>
      <c r="AJ16" s="6"/>
      <c r="AK16" s="7">
        <v>0</v>
      </c>
      <c r="AL16" s="6"/>
      <c r="AM16" s="7">
        <v>0</v>
      </c>
      <c r="AN16" s="6"/>
      <c r="AO16" s="7">
        <v>0</v>
      </c>
      <c r="AP16" s="6"/>
      <c r="AQ16" s="7">
        <v>12254.29</v>
      </c>
      <c r="AR16" s="6"/>
      <c r="AS16" s="7">
        <v>0</v>
      </c>
      <c r="AT16" s="6"/>
      <c r="AU16" s="7">
        <v>0</v>
      </c>
      <c r="AV16" s="6"/>
      <c r="AW16" s="7">
        <v>0</v>
      </c>
      <c r="AX16" s="6"/>
      <c r="AY16" s="7">
        <v>0</v>
      </c>
      <c r="AZ16" s="6"/>
      <c r="BA16" s="7">
        <v>0</v>
      </c>
      <c r="BB16" s="6"/>
      <c r="BC16" s="7">
        <v>0</v>
      </c>
      <c r="BD16" s="6"/>
      <c r="BE16" s="7">
        <v>0</v>
      </c>
      <c r="BF16" s="6"/>
      <c r="BG16" s="7">
        <v>0</v>
      </c>
      <c r="BH16" s="6"/>
      <c r="BI16" s="7">
        <v>0</v>
      </c>
      <c r="BJ16" s="6"/>
      <c r="BK16" s="7">
        <v>0</v>
      </c>
      <c r="BL16" s="6"/>
      <c r="BM16" s="7">
        <v>0</v>
      </c>
      <c r="BN16" s="6"/>
      <c r="BO16" s="7">
        <v>0</v>
      </c>
      <c r="BP16" s="6"/>
      <c r="BQ16" s="7">
        <f>ROUND(SUM(G16:BO16),5)</f>
        <v>12254.29</v>
      </c>
    </row>
    <row r="17" spans="1:69">
      <c r="A17" s="4"/>
      <c r="B17" s="4"/>
      <c r="C17" s="4"/>
      <c r="D17" s="4"/>
      <c r="E17" s="4" t="s">
        <v>98</v>
      </c>
      <c r="F17" s="4"/>
      <c r="G17" s="7">
        <v>0</v>
      </c>
      <c r="H17" s="6"/>
      <c r="I17" s="7">
        <v>0</v>
      </c>
      <c r="J17" s="6"/>
      <c r="K17" s="7">
        <v>0</v>
      </c>
      <c r="L17" s="6"/>
      <c r="M17" s="7">
        <v>0</v>
      </c>
      <c r="N17" s="6"/>
      <c r="O17" s="7">
        <v>0</v>
      </c>
      <c r="P17" s="6"/>
      <c r="Q17" s="7">
        <v>1029.3800000000001</v>
      </c>
      <c r="R17" s="6"/>
      <c r="S17" s="7">
        <v>0</v>
      </c>
      <c r="T17" s="6"/>
      <c r="U17" s="7">
        <v>0</v>
      </c>
      <c r="V17" s="6"/>
      <c r="W17" s="7">
        <v>0</v>
      </c>
      <c r="X17" s="6"/>
      <c r="Y17" s="7">
        <v>0</v>
      </c>
      <c r="Z17" s="6"/>
      <c r="AA17" s="7">
        <v>0</v>
      </c>
      <c r="AB17" s="6"/>
      <c r="AC17" s="7">
        <v>0</v>
      </c>
      <c r="AD17" s="6"/>
      <c r="AE17" s="7">
        <v>0</v>
      </c>
      <c r="AF17" s="6"/>
      <c r="AG17" s="7">
        <v>0</v>
      </c>
      <c r="AH17" s="6"/>
      <c r="AI17" s="7">
        <v>0</v>
      </c>
      <c r="AJ17" s="6"/>
      <c r="AK17" s="7">
        <v>0</v>
      </c>
      <c r="AL17" s="6"/>
      <c r="AM17" s="7">
        <v>0</v>
      </c>
      <c r="AN17" s="6"/>
      <c r="AO17" s="7">
        <v>0</v>
      </c>
      <c r="AP17" s="6"/>
      <c r="AQ17" s="7">
        <v>0</v>
      </c>
      <c r="AR17" s="6"/>
      <c r="AS17" s="7">
        <v>0</v>
      </c>
      <c r="AT17" s="6"/>
      <c r="AU17" s="7">
        <v>0</v>
      </c>
      <c r="AV17" s="6"/>
      <c r="AW17" s="7">
        <v>0</v>
      </c>
      <c r="AX17" s="6"/>
      <c r="AY17" s="7">
        <v>0</v>
      </c>
      <c r="AZ17" s="6"/>
      <c r="BA17" s="7">
        <v>0</v>
      </c>
      <c r="BB17" s="6"/>
      <c r="BC17" s="7">
        <v>0</v>
      </c>
      <c r="BD17" s="6"/>
      <c r="BE17" s="7">
        <v>0</v>
      </c>
      <c r="BF17" s="6"/>
      <c r="BG17" s="7">
        <v>0</v>
      </c>
      <c r="BH17" s="6"/>
      <c r="BI17" s="7">
        <v>0</v>
      </c>
      <c r="BJ17" s="6"/>
      <c r="BK17" s="7">
        <v>0</v>
      </c>
      <c r="BL17" s="6"/>
      <c r="BM17" s="7">
        <v>0</v>
      </c>
      <c r="BN17" s="6"/>
      <c r="BO17" s="7">
        <v>0</v>
      </c>
      <c r="BP17" s="6"/>
      <c r="BQ17" s="7">
        <f>ROUND(SUM(G17:BO17),5)</f>
        <v>1029.3800000000001</v>
      </c>
    </row>
    <row r="18" spans="1:69">
      <c r="A18" s="4"/>
      <c r="B18" s="4"/>
      <c r="C18" s="4"/>
      <c r="D18" s="4"/>
      <c r="E18" s="4" t="s">
        <v>99</v>
      </c>
      <c r="F18" s="4"/>
      <c r="G18" s="7">
        <v>0</v>
      </c>
      <c r="H18" s="6"/>
      <c r="I18" s="7">
        <v>0</v>
      </c>
      <c r="J18" s="6"/>
      <c r="K18" s="7">
        <v>0</v>
      </c>
      <c r="L18" s="6"/>
      <c r="M18" s="7">
        <v>0</v>
      </c>
      <c r="N18" s="6"/>
      <c r="O18" s="7">
        <v>0</v>
      </c>
      <c r="P18" s="6"/>
      <c r="Q18" s="7">
        <v>0</v>
      </c>
      <c r="R18" s="6"/>
      <c r="S18" s="7">
        <v>0</v>
      </c>
      <c r="T18" s="6"/>
      <c r="U18" s="7">
        <v>0</v>
      </c>
      <c r="V18" s="6"/>
      <c r="W18" s="7">
        <v>0</v>
      </c>
      <c r="X18" s="6"/>
      <c r="Y18" s="7">
        <v>0</v>
      </c>
      <c r="Z18" s="6"/>
      <c r="AA18" s="7">
        <v>0</v>
      </c>
      <c r="AB18" s="6"/>
      <c r="AC18" s="7">
        <v>0</v>
      </c>
      <c r="AD18" s="6"/>
      <c r="AE18" s="7">
        <v>0</v>
      </c>
      <c r="AF18" s="6"/>
      <c r="AG18" s="7">
        <v>0</v>
      </c>
      <c r="AH18" s="6"/>
      <c r="AI18" s="7">
        <v>0</v>
      </c>
      <c r="AJ18" s="6"/>
      <c r="AK18" s="7">
        <v>0</v>
      </c>
      <c r="AL18" s="6"/>
      <c r="AM18" s="7">
        <v>0</v>
      </c>
      <c r="AN18" s="6"/>
      <c r="AO18" s="7">
        <v>0</v>
      </c>
      <c r="AP18" s="6"/>
      <c r="AQ18" s="7">
        <v>0</v>
      </c>
      <c r="AR18" s="6"/>
      <c r="AS18" s="7">
        <v>0</v>
      </c>
      <c r="AT18" s="6"/>
      <c r="AU18" s="7">
        <v>0</v>
      </c>
      <c r="AV18" s="6"/>
      <c r="AW18" s="7">
        <v>0</v>
      </c>
      <c r="AX18" s="6"/>
      <c r="AY18" s="7">
        <v>0</v>
      </c>
      <c r="AZ18" s="6"/>
      <c r="BA18" s="7">
        <v>33175.97</v>
      </c>
      <c r="BB18" s="6"/>
      <c r="BC18" s="7">
        <v>0</v>
      </c>
      <c r="BD18" s="6"/>
      <c r="BE18" s="7">
        <v>0</v>
      </c>
      <c r="BF18" s="6"/>
      <c r="BG18" s="7">
        <v>0</v>
      </c>
      <c r="BH18" s="6"/>
      <c r="BI18" s="7">
        <v>0</v>
      </c>
      <c r="BJ18" s="6"/>
      <c r="BK18" s="7">
        <v>0</v>
      </c>
      <c r="BL18" s="6"/>
      <c r="BM18" s="7">
        <v>0</v>
      </c>
      <c r="BN18" s="6"/>
      <c r="BO18" s="7">
        <v>0</v>
      </c>
      <c r="BP18" s="6"/>
      <c r="BQ18" s="7">
        <f>ROUND(SUM(G18:BO18),5)</f>
        <v>33175.97</v>
      </c>
    </row>
    <row r="19" spans="1:69">
      <c r="A19" s="4"/>
      <c r="B19" s="4"/>
      <c r="C19" s="4"/>
      <c r="D19" s="4"/>
      <c r="E19" s="4" t="s">
        <v>100</v>
      </c>
      <c r="F19" s="4"/>
      <c r="G19" s="7">
        <v>0</v>
      </c>
      <c r="H19" s="6"/>
      <c r="I19" s="7">
        <v>0</v>
      </c>
      <c r="J19" s="6"/>
      <c r="K19" s="7">
        <v>0</v>
      </c>
      <c r="L19" s="6"/>
      <c r="M19" s="7">
        <v>0</v>
      </c>
      <c r="N19" s="6"/>
      <c r="O19" s="7">
        <v>0</v>
      </c>
      <c r="P19" s="6"/>
      <c r="Q19" s="7">
        <v>0</v>
      </c>
      <c r="R19" s="6"/>
      <c r="S19" s="7">
        <v>0</v>
      </c>
      <c r="T19" s="6"/>
      <c r="U19" s="7">
        <v>0</v>
      </c>
      <c r="V19" s="6"/>
      <c r="W19" s="7">
        <v>0</v>
      </c>
      <c r="X19" s="6"/>
      <c r="Y19" s="7">
        <v>0</v>
      </c>
      <c r="Z19" s="6"/>
      <c r="AA19" s="7">
        <v>0</v>
      </c>
      <c r="AB19" s="6"/>
      <c r="AC19" s="7">
        <v>0</v>
      </c>
      <c r="AD19" s="6"/>
      <c r="AE19" s="7">
        <v>0</v>
      </c>
      <c r="AF19" s="6"/>
      <c r="AG19" s="7">
        <v>0</v>
      </c>
      <c r="AH19" s="6"/>
      <c r="AI19" s="7">
        <v>0</v>
      </c>
      <c r="AJ19" s="6"/>
      <c r="AK19" s="7">
        <v>0</v>
      </c>
      <c r="AL19" s="6"/>
      <c r="AM19" s="7">
        <v>141045.66</v>
      </c>
      <c r="AN19" s="6"/>
      <c r="AO19" s="7">
        <v>0</v>
      </c>
      <c r="AP19" s="6"/>
      <c r="AQ19" s="7">
        <v>0</v>
      </c>
      <c r="AR19" s="6"/>
      <c r="AS19" s="7">
        <v>0</v>
      </c>
      <c r="AT19" s="6"/>
      <c r="AU19" s="7">
        <v>0</v>
      </c>
      <c r="AV19" s="6"/>
      <c r="AW19" s="7">
        <v>0</v>
      </c>
      <c r="AX19" s="6"/>
      <c r="AY19" s="7">
        <v>0</v>
      </c>
      <c r="AZ19" s="6"/>
      <c r="BA19" s="7">
        <v>0</v>
      </c>
      <c r="BB19" s="6"/>
      <c r="BC19" s="7">
        <v>0</v>
      </c>
      <c r="BD19" s="6"/>
      <c r="BE19" s="7">
        <v>0</v>
      </c>
      <c r="BF19" s="6"/>
      <c r="BG19" s="7">
        <v>0</v>
      </c>
      <c r="BH19" s="6"/>
      <c r="BI19" s="7">
        <v>0</v>
      </c>
      <c r="BJ19" s="6"/>
      <c r="BK19" s="7">
        <v>0</v>
      </c>
      <c r="BL19" s="6"/>
      <c r="BM19" s="7">
        <v>0</v>
      </c>
      <c r="BN19" s="6"/>
      <c r="BO19" s="7">
        <v>0</v>
      </c>
      <c r="BP19" s="6"/>
      <c r="BQ19" s="7">
        <f>ROUND(SUM(G19:BO19),5)</f>
        <v>141045.66</v>
      </c>
    </row>
    <row r="20" spans="1:69">
      <c r="A20" s="4"/>
      <c r="B20" s="4"/>
      <c r="C20" s="4"/>
      <c r="D20" s="4"/>
      <c r="E20" s="4" t="s">
        <v>101</v>
      </c>
      <c r="F20" s="4"/>
      <c r="G20" s="7">
        <v>0</v>
      </c>
      <c r="H20" s="6"/>
      <c r="I20" s="7">
        <v>0</v>
      </c>
      <c r="J20" s="6"/>
      <c r="K20" s="7">
        <v>0</v>
      </c>
      <c r="L20" s="6"/>
      <c r="M20" s="7">
        <v>0</v>
      </c>
      <c r="N20" s="6"/>
      <c r="O20" s="7">
        <v>0</v>
      </c>
      <c r="P20" s="6"/>
      <c r="Q20" s="7">
        <v>0</v>
      </c>
      <c r="R20" s="6"/>
      <c r="S20" s="7">
        <v>0</v>
      </c>
      <c r="T20" s="6"/>
      <c r="U20" s="7">
        <v>0</v>
      </c>
      <c r="V20" s="6"/>
      <c r="W20" s="7">
        <v>0</v>
      </c>
      <c r="X20" s="6"/>
      <c r="Y20" s="7">
        <v>0</v>
      </c>
      <c r="Z20" s="6"/>
      <c r="AA20" s="7">
        <v>0</v>
      </c>
      <c r="AB20" s="6"/>
      <c r="AC20" s="7">
        <v>0</v>
      </c>
      <c r="AD20" s="6"/>
      <c r="AE20" s="7">
        <v>0</v>
      </c>
      <c r="AF20" s="6"/>
      <c r="AG20" s="7">
        <v>0</v>
      </c>
      <c r="AH20" s="6"/>
      <c r="AI20" s="7">
        <v>0</v>
      </c>
      <c r="AJ20" s="6"/>
      <c r="AK20" s="7">
        <v>0</v>
      </c>
      <c r="AL20" s="6"/>
      <c r="AM20" s="7">
        <v>29458.799999999999</v>
      </c>
      <c r="AN20" s="6"/>
      <c r="AO20" s="7">
        <v>0</v>
      </c>
      <c r="AP20" s="6"/>
      <c r="AQ20" s="7">
        <v>0</v>
      </c>
      <c r="AR20" s="6"/>
      <c r="AS20" s="7">
        <v>0</v>
      </c>
      <c r="AT20" s="6"/>
      <c r="AU20" s="7">
        <v>0</v>
      </c>
      <c r="AV20" s="6"/>
      <c r="AW20" s="7">
        <v>0</v>
      </c>
      <c r="AX20" s="6"/>
      <c r="AY20" s="7">
        <v>0</v>
      </c>
      <c r="AZ20" s="6"/>
      <c r="BA20" s="7">
        <v>0</v>
      </c>
      <c r="BB20" s="6"/>
      <c r="BC20" s="7">
        <v>0</v>
      </c>
      <c r="BD20" s="6"/>
      <c r="BE20" s="7">
        <v>0</v>
      </c>
      <c r="BF20" s="6"/>
      <c r="BG20" s="7">
        <v>0</v>
      </c>
      <c r="BH20" s="6"/>
      <c r="BI20" s="7">
        <v>0</v>
      </c>
      <c r="BJ20" s="6"/>
      <c r="BK20" s="7">
        <v>0</v>
      </c>
      <c r="BL20" s="6"/>
      <c r="BM20" s="7">
        <v>0</v>
      </c>
      <c r="BN20" s="6"/>
      <c r="BO20" s="7">
        <v>0</v>
      </c>
      <c r="BP20" s="6"/>
      <c r="BQ20" s="7">
        <f>ROUND(SUM(G20:BO20),5)</f>
        <v>29458.799999999999</v>
      </c>
    </row>
    <row r="21" spans="1:69">
      <c r="A21" s="4"/>
      <c r="B21" s="4"/>
      <c r="C21" s="4"/>
      <c r="D21" s="4"/>
      <c r="E21" s="4" t="s">
        <v>102</v>
      </c>
      <c r="F21" s="4"/>
      <c r="G21" s="7">
        <v>0</v>
      </c>
      <c r="H21" s="6"/>
      <c r="I21" s="7">
        <v>0</v>
      </c>
      <c r="J21" s="6"/>
      <c r="K21" s="7">
        <v>0</v>
      </c>
      <c r="L21" s="6"/>
      <c r="M21" s="7">
        <v>0</v>
      </c>
      <c r="N21" s="6"/>
      <c r="O21" s="7">
        <v>0</v>
      </c>
      <c r="P21" s="6"/>
      <c r="Q21" s="7">
        <v>0</v>
      </c>
      <c r="R21" s="6"/>
      <c r="S21" s="7">
        <v>0</v>
      </c>
      <c r="T21" s="6"/>
      <c r="U21" s="7">
        <v>0</v>
      </c>
      <c r="V21" s="6"/>
      <c r="W21" s="7">
        <v>0</v>
      </c>
      <c r="X21" s="6"/>
      <c r="Y21" s="7">
        <v>0</v>
      </c>
      <c r="Z21" s="6"/>
      <c r="AA21" s="7">
        <v>0</v>
      </c>
      <c r="AB21" s="6"/>
      <c r="AC21" s="7">
        <v>0</v>
      </c>
      <c r="AD21" s="6"/>
      <c r="AE21" s="7">
        <v>0</v>
      </c>
      <c r="AF21" s="6"/>
      <c r="AG21" s="7">
        <v>0</v>
      </c>
      <c r="AH21" s="6"/>
      <c r="AI21" s="7">
        <v>0</v>
      </c>
      <c r="AJ21" s="6"/>
      <c r="AK21" s="7">
        <v>0</v>
      </c>
      <c r="AL21" s="6"/>
      <c r="AM21" s="7">
        <v>0</v>
      </c>
      <c r="AN21" s="6"/>
      <c r="AO21" s="7">
        <v>0</v>
      </c>
      <c r="AP21" s="6"/>
      <c r="AQ21" s="7">
        <v>0</v>
      </c>
      <c r="AR21" s="6"/>
      <c r="AS21" s="7">
        <v>0</v>
      </c>
      <c r="AT21" s="6"/>
      <c r="AU21" s="7">
        <v>0</v>
      </c>
      <c r="AV21" s="6"/>
      <c r="AW21" s="7">
        <v>0</v>
      </c>
      <c r="AX21" s="6"/>
      <c r="AY21" s="7">
        <v>0</v>
      </c>
      <c r="AZ21" s="6"/>
      <c r="BA21" s="7">
        <v>0</v>
      </c>
      <c r="BB21" s="6"/>
      <c r="BC21" s="7">
        <v>0</v>
      </c>
      <c r="BD21" s="6"/>
      <c r="BE21" s="7">
        <v>0</v>
      </c>
      <c r="BF21" s="6"/>
      <c r="BG21" s="7">
        <v>0</v>
      </c>
      <c r="BH21" s="6"/>
      <c r="BI21" s="7">
        <v>0</v>
      </c>
      <c r="BJ21" s="6"/>
      <c r="BK21" s="7">
        <v>0</v>
      </c>
      <c r="BL21" s="6"/>
      <c r="BM21" s="7">
        <v>100898.26</v>
      </c>
      <c r="BN21" s="6"/>
      <c r="BO21" s="7">
        <v>346132.54</v>
      </c>
      <c r="BP21" s="6"/>
      <c r="BQ21" s="7">
        <f>ROUND(SUM(G21:BO21),5)</f>
        <v>447030.8</v>
      </c>
    </row>
    <row r="22" spans="1:69">
      <c r="A22" s="4"/>
      <c r="B22" s="4"/>
      <c r="C22" s="4"/>
      <c r="D22" s="4"/>
      <c r="E22" s="4" t="s">
        <v>103</v>
      </c>
      <c r="F22" s="4"/>
      <c r="G22" s="7">
        <v>0</v>
      </c>
      <c r="H22" s="6"/>
      <c r="I22" s="7">
        <v>0</v>
      </c>
      <c r="J22" s="6"/>
      <c r="K22" s="7">
        <v>0</v>
      </c>
      <c r="L22" s="6"/>
      <c r="M22" s="7">
        <v>0</v>
      </c>
      <c r="N22" s="6"/>
      <c r="O22" s="7">
        <v>0</v>
      </c>
      <c r="P22" s="6"/>
      <c r="Q22" s="7">
        <v>0</v>
      </c>
      <c r="R22" s="6"/>
      <c r="S22" s="7">
        <v>0</v>
      </c>
      <c r="T22" s="6"/>
      <c r="U22" s="7">
        <v>0</v>
      </c>
      <c r="V22" s="6"/>
      <c r="W22" s="7">
        <v>0</v>
      </c>
      <c r="X22" s="6"/>
      <c r="Y22" s="7">
        <v>0</v>
      </c>
      <c r="Z22" s="6"/>
      <c r="AA22" s="7">
        <v>0</v>
      </c>
      <c r="AB22" s="6"/>
      <c r="AC22" s="7">
        <v>0</v>
      </c>
      <c r="AD22" s="6"/>
      <c r="AE22" s="7">
        <v>0</v>
      </c>
      <c r="AF22" s="6"/>
      <c r="AG22" s="7">
        <v>0</v>
      </c>
      <c r="AH22" s="6"/>
      <c r="AI22" s="7">
        <v>0</v>
      </c>
      <c r="AJ22" s="6"/>
      <c r="AK22" s="7">
        <v>0</v>
      </c>
      <c r="AL22" s="6"/>
      <c r="AM22" s="7">
        <v>0</v>
      </c>
      <c r="AN22" s="6"/>
      <c r="AO22" s="7">
        <v>0</v>
      </c>
      <c r="AP22" s="6"/>
      <c r="AQ22" s="7">
        <v>0</v>
      </c>
      <c r="AR22" s="6"/>
      <c r="AS22" s="7">
        <v>0</v>
      </c>
      <c r="AT22" s="6"/>
      <c r="AU22" s="7">
        <v>0</v>
      </c>
      <c r="AV22" s="6"/>
      <c r="AW22" s="7">
        <v>-5365.12</v>
      </c>
      <c r="AX22" s="6"/>
      <c r="AY22" s="7">
        <v>202420.15</v>
      </c>
      <c r="AZ22" s="6"/>
      <c r="BA22" s="7">
        <v>0</v>
      </c>
      <c r="BB22" s="6"/>
      <c r="BC22" s="7">
        <v>0</v>
      </c>
      <c r="BD22" s="6"/>
      <c r="BE22" s="7">
        <v>0</v>
      </c>
      <c r="BF22" s="6"/>
      <c r="BG22" s="7">
        <v>0</v>
      </c>
      <c r="BH22" s="6"/>
      <c r="BI22" s="7">
        <v>0</v>
      </c>
      <c r="BJ22" s="6"/>
      <c r="BK22" s="7">
        <v>0</v>
      </c>
      <c r="BL22" s="6"/>
      <c r="BM22" s="7">
        <v>0</v>
      </c>
      <c r="BN22" s="6"/>
      <c r="BO22" s="7">
        <v>0</v>
      </c>
      <c r="BP22" s="6"/>
      <c r="BQ22" s="7">
        <f>ROUND(SUM(G22:BO22),5)</f>
        <v>197055.03</v>
      </c>
    </row>
    <row r="23" spans="1:69">
      <c r="A23" s="4"/>
      <c r="B23" s="4"/>
      <c r="C23" s="4"/>
      <c r="D23" s="4"/>
      <c r="E23" s="4" t="s">
        <v>104</v>
      </c>
      <c r="F23" s="4"/>
      <c r="G23" s="7">
        <v>0</v>
      </c>
      <c r="H23" s="6"/>
      <c r="I23" s="7">
        <v>0</v>
      </c>
      <c r="J23" s="6"/>
      <c r="K23" s="7">
        <v>0</v>
      </c>
      <c r="L23" s="6"/>
      <c r="M23" s="7">
        <v>0</v>
      </c>
      <c r="N23" s="6"/>
      <c r="O23" s="7">
        <v>0</v>
      </c>
      <c r="P23" s="6"/>
      <c r="Q23" s="7">
        <v>0</v>
      </c>
      <c r="R23" s="6"/>
      <c r="S23" s="7">
        <v>0</v>
      </c>
      <c r="T23" s="6"/>
      <c r="U23" s="7">
        <v>0</v>
      </c>
      <c r="V23" s="6"/>
      <c r="W23" s="7">
        <v>0</v>
      </c>
      <c r="X23" s="6"/>
      <c r="Y23" s="7">
        <v>0</v>
      </c>
      <c r="Z23" s="6"/>
      <c r="AA23" s="7">
        <v>0</v>
      </c>
      <c r="AB23" s="6"/>
      <c r="AC23" s="7">
        <v>0</v>
      </c>
      <c r="AD23" s="6"/>
      <c r="AE23" s="7">
        <v>0</v>
      </c>
      <c r="AF23" s="6"/>
      <c r="AG23" s="7">
        <v>0</v>
      </c>
      <c r="AH23" s="6"/>
      <c r="AI23" s="7">
        <v>0</v>
      </c>
      <c r="AJ23" s="6"/>
      <c r="AK23" s="7">
        <v>0</v>
      </c>
      <c r="AL23" s="6"/>
      <c r="AM23" s="7">
        <v>0</v>
      </c>
      <c r="AN23" s="6"/>
      <c r="AO23" s="7">
        <v>0</v>
      </c>
      <c r="AP23" s="6"/>
      <c r="AQ23" s="7">
        <v>0</v>
      </c>
      <c r="AR23" s="6"/>
      <c r="AS23" s="7">
        <v>0</v>
      </c>
      <c r="AT23" s="6"/>
      <c r="AU23" s="7">
        <v>0</v>
      </c>
      <c r="AV23" s="6"/>
      <c r="AW23" s="7">
        <v>0</v>
      </c>
      <c r="AX23" s="6"/>
      <c r="AY23" s="7">
        <v>0</v>
      </c>
      <c r="AZ23" s="6"/>
      <c r="BA23" s="7">
        <v>0</v>
      </c>
      <c r="BB23" s="6"/>
      <c r="BC23" s="7">
        <v>398.84</v>
      </c>
      <c r="BD23" s="6"/>
      <c r="BE23" s="7">
        <v>15926.11</v>
      </c>
      <c r="BF23" s="6"/>
      <c r="BG23" s="7">
        <v>0</v>
      </c>
      <c r="BH23" s="6"/>
      <c r="BI23" s="7">
        <v>0</v>
      </c>
      <c r="BJ23" s="6"/>
      <c r="BK23" s="7">
        <v>0</v>
      </c>
      <c r="BL23" s="6"/>
      <c r="BM23" s="7">
        <v>0</v>
      </c>
      <c r="BN23" s="6"/>
      <c r="BO23" s="7">
        <v>0</v>
      </c>
      <c r="BP23" s="6"/>
      <c r="BQ23" s="7">
        <f>ROUND(SUM(G23:BO23),5)</f>
        <v>16324.95</v>
      </c>
    </row>
    <row r="24" spans="1:69">
      <c r="A24" s="4"/>
      <c r="B24" s="4"/>
      <c r="C24" s="4"/>
      <c r="D24" s="4"/>
      <c r="E24" s="4" t="s">
        <v>105</v>
      </c>
      <c r="F24" s="4"/>
      <c r="G24" s="7">
        <v>0</v>
      </c>
      <c r="H24" s="6"/>
      <c r="I24" s="7">
        <v>0</v>
      </c>
      <c r="J24" s="6"/>
      <c r="K24" s="7">
        <v>0</v>
      </c>
      <c r="L24" s="6"/>
      <c r="M24" s="7">
        <v>0</v>
      </c>
      <c r="N24" s="6"/>
      <c r="O24" s="7">
        <v>0</v>
      </c>
      <c r="P24" s="6"/>
      <c r="Q24" s="7">
        <v>0</v>
      </c>
      <c r="R24" s="6"/>
      <c r="S24" s="7">
        <v>0</v>
      </c>
      <c r="T24" s="6"/>
      <c r="U24" s="7">
        <v>0</v>
      </c>
      <c r="V24" s="6"/>
      <c r="W24" s="7">
        <v>0</v>
      </c>
      <c r="X24" s="6"/>
      <c r="Y24" s="7">
        <v>0</v>
      </c>
      <c r="Z24" s="6"/>
      <c r="AA24" s="7">
        <v>0</v>
      </c>
      <c r="AB24" s="6"/>
      <c r="AC24" s="7">
        <v>0</v>
      </c>
      <c r="AD24" s="6"/>
      <c r="AE24" s="7">
        <v>0</v>
      </c>
      <c r="AF24" s="6"/>
      <c r="AG24" s="7">
        <v>0</v>
      </c>
      <c r="AH24" s="6"/>
      <c r="AI24" s="7">
        <v>0</v>
      </c>
      <c r="AJ24" s="6"/>
      <c r="AK24" s="7">
        <v>0</v>
      </c>
      <c r="AL24" s="6"/>
      <c r="AM24" s="7">
        <v>0</v>
      </c>
      <c r="AN24" s="6"/>
      <c r="AO24" s="7">
        <v>0</v>
      </c>
      <c r="AP24" s="6"/>
      <c r="AQ24" s="7">
        <v>0</v>
      </c>
      <c r="AR24" s="6"/>
      <c r="AS24" s="7">
        <v>0</v>
      </c>
      <c r="AT24" s="6"/>
      <c r="AU24" s="7">
        <v>0</v>
      </c>
      <c r="AV24" s="6"/>
      <c r="AW24" s="7">
        <v>0</v>
      </c>
      <c r="AX24" s="6"/>
      <c r="AY24" s="7">
        <v>0</v>
      </c>
      <c r="AZ24" s="6"/>
      <c r="BA24" s="7">
        <v>0</v>
      </c>
      <c r="BB24" s="6"/>
      <c r="BC24" s="7">
        <v>0</v>
      </c>
      <c r="BD24" s="6"/>
      <c r="BE24" s="7">
        <v>0</v>
      </c>
      <c r="BF24" s="6"/>
      <c r="BG24" s="7">
        <v>5967.34</v>
      </c>
      <c r="BH24" s="6"/>
      <c r="BI24" s="7">
        <v>3780</v>
      </c>
      <c r="BJ24" s="6"/>
      <c r="BK24" s="7">
        <v>0</v>
      </c>
      <c r="BL24" s="6"/>
      <c r="BM24" s="7">
        <v>0</v>
      </c>
      <c r="BN24" s="6"/>
      <c r="BO24" s="7">
        <v>0</v>
      </c>
      <c r="BP24" s="6"/>
      <c r="BQ24" s="7">
        <f>ROUND(SUM(G24:BO24),5)</f>
        <v>9747.34</v>
      </c>
    </row>
    <row r="25" spans="1:69">
      <c r="A25" s="4"/>
      <c r="B25" s="4"/>
      <c r="C25" s="4"/>
      <c r="D25" s="4"/>
      <c r="E25" s="4" t="s">
        <v>106</v>
      </c>
      <c r="F25" s="4"/>
      <c r="G25" s="7"/>
      <c r="H25" s="6"/>
      <c r="I25" s="7"/>
      <c r="J25" s="6"/>
      <c r="K25" s="7"/>
      <c r="L25" s="6"/>
      <c r="M25" s="7"/>
      <c r="N25" s="6"/>
      <c r="O25" s="7"/>
      <c r="P25" s="6"/>
      <c r="Q25" s="7"/>
      <c r="R25" s="6"/>
      <c r="S25" s="7"/>
      <c r="T25" s="6"/>
      <c r="U25" s="7"/>
      <c r="V25" s="6"/>
      <c r="W25" s="7"/>
      <c r="X25" s="6"/>
      <c r="Y25" s="7"/>
      <c r="Z25" s="6"/>
      <c r="AA25" s="7"/>
      <c r="AB25" s="6"/>
      <c r="AC25" s="7"/>
      <c r="AD25" s="6"/>
      <c r="AE25" s="7"/>
      <c r="AF25" s="6"/>
      <c r="AG25" s="7"/>
      <c r="AH25" s="6"/>
      <c r="AI25" s="7"/>
      <c r="AJ25" s="6"/>
      <c r="AK25" s="7"/>
      <c r="AL25" s="6"/>
      <c r="AM25" s="7"/>
      <c r="AN25" s="6"/>
      <c r="AO25" s="7"/>
      <c r="AP25" s="6"/>
      <c r="AQ25" s="7"/>
      <c r="AR25" s="6"/>
      <c r="AS25" s="7"/>
      <c r="AT25" s="6"/>
      <c r="AU25" s="7"/>
      <c r="AV25" s="6"/>
      <c r="AW25" s="7"/>
      <c r="AX25" s="6"/>
      <c r="AY25" s="7"/>
      <c r="AZ25" s="6"/>
      <c r="BA25" s="7"/>
      <c r="BB25" s="6"/>
      <c r="BC25" s="7"/>
      <c r="BD25" s="6"/>
      <c r="BE25" s="7"/>
      <c r="BF25" s="6"/>
      <c r="BG25" s="7"/>
      <c r="BH25" s="6"/>
      <c r="BI25" s="7"/>
      <c r="BJ25" s="6"/>
      <c r="BK25" s="7"/>
      <c r="BL25" s="6"/>
      <c r="BM25" s="7"/>
      <c r="BN25" s="6"/>
      <c r="BO25" s="7"/>
      <c r="BP25" s="6"/>
      <c r="BQ25" s="7"/>
    </row>
    <row r="26" spans="1:69" ht="15.75" thickBot="1">
      <c r="A26" s="4"/>
      <c r="B26" s="4"/>
      <c r="C26" s="4"/>
      <c r="D26" s="4"/>
      <c r="E26" s="4"/>
      <c r="F26" s="4" t="s">
        <v>107</v>
      </c>
      <c r="G26" s="9">
        <v>0</v>
      </c>
      <c r="H26" s="6"/>
      <c r="I26" s="9">
        <v>0</v>
      </c>
      <c r="J26" s="6"/>
      <c r="K26" s="9">
        <v>0</v>
      </c>
      <c r="L26" s="6"/>
      <c r="M26" s="9">
        <v>0</v>
      </c>
      <c r="N26" s="6"/>
      <c r="O26" s="9">
        <v>0</v>
      </c>
      <c r="P26" s="6"/>
      <c r="Q26" s="9">
        <v>0</v>
      </c>
      <c r="R26" s="6"/>
      <c r="S26" s="9">
        <v>0</v>
      </c>
      <c r="T26" s="6"/>
      <c r="U26" s="9">
        <v>0</v>
      </c>
      <c r="V26" s="6"/>
      <c r="W26" s="9">
        <v>0</v>
      </c>
      <c r="X26" s="6"/>
      <c r="Y26" s="9">
        <v>0</v>
      </c>
      <c r="Z26" s="6"/>
      <c r="AA26" s="9">
        <v>0</v>
      </c>
      <c r="AB26" s="6"/>
      <c r="AC26" s="9">
        <v>0</v>
      </c>
      <c r="AD26" s="6"/>
      <c r="AE26" s="9">
        <v>0</v>
      </c>
      <c r="AF26" s="6"/>
      <c r="AG26" s="9">
        <v>0</v>
      </c>
      <c r="AH26" s="6"/>
      <c r="AI26" s="9">
        <v>0</v>
      </c>
      <c r="AJ26" s="6"/>
      <c r="AK26" s="9">
        <v>0</v>
      </c>
      <c r="AL26" s="6"/>
      <c r="AM26" s="9">
        <v>0</v>
      </c>
      <c r="AN26" s="6"/>
      <c r="AO26" s="9">
        <v>0</v>
      </c>
      <c r="AP26" s="6"/>
      <c r="AQ26" s="9">
        <v>0</v>
      </c>
      <c r="AR26" s="6"/>
      <c r="AS26" s="9">
        <v>0</v>
      </c>
      <c r="AT26" s="6"/>
      <c r="AU26" s="9">
        <v>0</v>
      </c>
      <c r="AV26" s="6"/>
      <c r="AW26" s="9">
        <v>0</v>
      </c>
      <c r="AX26" s="6"/>
      <c r="AY26" s="9">
        <v>0</v>
      </c>
      <c r="AZ26" s="6"/>
      <c r="BA26" s="9">
        <v>0</v>
      </c>
      <c r="BB26" s="6"/>
      <c r="BC26" s="9">
        <v>0</v>
      </c>
      <c r="BD26" s="6"/>
      <c r="BE26" s="9">
        <v>0</v>
      </c>
      <c r="BF26" s="6"/>
      <c r="BG26" s="9">
        <v>0</v>
      </c>
      <c r="BH26" s="6"/>
      <c r="BI26" s="9">
        <v>0</v>
      </c>
      <c r="BJ26" s="6"/>
      <c r="BK26" s="9">
        <v>5860</v>
      </c>
      <c r="BL26" s="6"/>
      <c r="BM26" s="9">
        <v>0</v>
      </c>
      <c r="BN26" s="6"/>
      <c r="BO26" s="9">
        <v>0</v>
      </c>
      <c r="BP26" s="6"/>
      <c r="BQ26" s="9">
        <f>ROUND(SUM(G26:BO26),5)</f>
        <v>5860</v>
      </c>
    </row>
    <row r="27" spans="1:69">
      <c r="A27" s="4"/>
      <c r="B27" s="4"/>
      <c r="C27" s="4"/>
      <c r="D27" s="4"/>
      <c r="E27" s="4" t="s">
        <v>108</v>
      </c>
      <c r="F27" s="4"/>
      <c r="G27" s="7">
        <f>ROUND(SUM(G25:G26),5)</f>
        <v>0</v>
      </c>
      <c r="H27" s="6"/>
      <c r="I27" s="7">
        <f>ROUND(SUM(I25:I26),5)</f>
        <v>0</v>
      </c>
      <c r="J27" s="6"/>
      <c r="K27" s="7">
        <f>ROUND(SUM(K25:K26),5)</f>
        <v>0</v>
      </c>
      <c r="L27" s="6"/>
      <c r="M27" s="7">
        <f>ROUND(SUM(M25:M26),5)</f>
        <v>0</v>
      </c>
      <c r="N27" s="6"/>
      <c r="O27" s="7">
        <f>ROUND(SUM(O25:O26),5)</f>
        <v>0</v>
      </c>
      <c r="P27" s="6"/>
      <c r="Q27" s="7">
        <f>ROUND(SUM(Q25:Q26),5)</f>
        <v>0</v>
      </c>
      <c r="R27" s="6"/>
      <c r="S27" s="7">
        <f>ROUND(SUM(S25:S26),5)</f>
        <v>0</v>
      </c>
      <c r="T27" s="6"/>
      <c r="U27" s="7">
        <f>ROUND(SUM(U25:U26),5)</f>
        <v>0</v>
      </c>
      <c r="V27" s="6"/>
      <c r="W27" s="7">
        <f>ROUND(SUM(W25:W26),5)</f>
        <v>0</v>
      </c>
      <c r="X27" s="6"/>
      <c r="Y27" s="7">
        <f>ROUND(SUM(Y25:Y26),5)</f>
        <v>0</v>
      </c>
      <c r="Z27" s="6"/>
      <c r="AA27" s="7">
        <f>ROUND(SUM(AA25:AA26),5)</f>
        <v>0</v>
      </c>
      <c r="AB27" s="6"/>
      <c r="AC27" s="7">
        <f>ROUND(SUM(AC25:AC26),5)</f>
        <v>0</v>
      </c>
      <c r="AD27" s="6"/>
      <c r="AE27" s="7">
        <f>ROUND(SUM(AE25:AE26),5)</f>
        <v>0</v>
      </c>
      <c r="AF27" s="6"/>
      <c r="AG27" s="7">
        <f>ROUND(SUM(AG25:AG26),5)</f>
        <v>0</v>
      </c>
      <c r="AH27" s="6"/>
      <c r="AI27" s="7">
        <f>ROUND(SUM(AI25:AI26),5)</f>
        <v>0</v>
      </c>
      <c r="AJ27" s="6"/>
      <c r="AK27" s="7">
        <f>ROUND(SUM(AK25:AK26),5)</f>
        <v>0</v>
      </c>
      <c r="AL27" s="6"/>
      <c r="AM27" s="7">
        <f>ROUND(SUM(AM25:AM26),5)</f>
        <v>0</v>
      </c>
      <c r="AN27" s="6"/>
      <c r="AO27" s="7">
        <f>ROUND(SUM(AO25:AO26),5)</f>
        <v>0</v>
      </c>
      <c r="AP27" s="6"/>
      <c r="AQ27" s="7">
        <f>ROUND(SUM(AQ25:AQ26),5)</f>
        <v>0</v>
      </c>
      <c r="AR27" s="6"/>
      <c r="AS27" s="7">
        <f>ROUND(SUM(AS25:AS26),5)</f>
        <v>0</v>
      </c>
      <c r="AT27" s="6"/>
      <c r="AU27" s="7">
        <f>ROUND(SUM(AU25:AU26),5)</f>
        <v>0</v>
      </c>
      <c r="AV27" s="6"/>
      <c r="AW27" s="7">
        <f>ROUND(SUM(AW25:AW26),5)</f>
        <v>0</v>
      </c>
      <c r="AX27" s="6"/>
      <c r="AY27" s="7">
        <f>ROUND(SUM(AY25:AY26),5)</f>
        <v>0</v>
      </c>
      <c r="AZ27" s="6"/>
      <c r="BA27" s="7">
        <f>ROUND(SUM(BA25:BA26),5)</f>
        <v>0</v>
      </c>
      <c r="BB27" s="6"/>
      <c r="BC27" s="7">
        <f>ROUND(SUM(BC25:BC26),5)</f>
        <v>0</v>
      </c>
      <c r="BD27" s="6"/>
      <c r="BE27" s="7">
        <f>ROUND(SUM(BE25:BE26),5)</f>
        <v>0</v>
      </c>
      <c r="BF27" s="6"/>
      <c r="BG27" s="7">
        <f>ROUND(SUM(BG25:BG26),5)</f>
        <v>0</v>
      </c>
      <c r="BH27" s="6"/>
      <c r="BI27" s="7">
        <f>ROUND(SUM(BI25:BI26),5)</f>
        <v>0</v>
      </c>
      <c r="BJ27" s="6"/>
      <c r="BK27" s="7">
        <f>ROUND(SUM(BK25:BK26),5)</f>
        <v>5860</v>
      </c>
      <c r="BL27" s="6"/>
      <c r="BM27" s="7">
        <f>ROUND(SUM(BM25:BM26),5)</f>
        <v>0</v>
      </c>
      <c r="BN27" s="6"/>
      <c r="BO27" s="7">
        <f>ROUND(SUM(BO25:BO26),5)</f>
        <v>0</v>
      </c>
      <c r="BP27" s="6"/>
      <c r="BQ27" s="7">
        <f>ROUND(SUM(G27:BO27),5)</f>
        <v>5860</v>
      </c>
    </row>
    <row r="28" spans="1:69">
      <c r="A28" s="4"/>
      <c r="B28" s="4"/>
      <c r="C28" s="4"/>
      <c r="D28" s="4"/>
      <c r="E28" s="4" t="s">
        <v>109</v>
      </c>
      <c r="F28" s="4"/>
      <c r="G28" s="7">
        <v>1691013.91</v>
      </c>
      <c r="H28" s="6"/>
      <c r="I28" s="7">
        <v>0</v>
      </c>
      <c r="J28" s="6"/>
      <c r="K28" s="7">
        <v>0</v>
      </c>
      <c r="L28" s="6"/>
      <c r="M28" s="7">
        <v>0</v>
      </c>
      <c r="N28" s="6"/>
      <c r="O28" s="7">
        <v>0</v>
      </c>
      <c r="P28" s="6"/>
      <c r="Q28" s="7">
        <v>0</v>
      </c>
      <c r="R28" s="6"/>
      <c r="S28" s="7">
        <v>0</v>
      </c>
      <c r="T28" s="6"/>
      <c r="U28" s="7">
        <v>0</v>
      </c>
      <c r="V28" s="6"/>
      <c r="W28" s="7">
        <v>0</v>
      </c>
      <c r="X28" s="6"/>
      <c r="Y28" s="7">
        <v>0</v>
      </c>
      <c r="Z28" s="6"/>
      <c r="AA28" s="7">
        <v>0</v>
      </c>
      <c r="AB28" s="6"/>
      <c r="AC28" s="7">
        <v>0</v>
      </c>
      <c r="AD28" s="6"/>
      <c r="AE28" s="7">
        <v>0</v>
      </c>
      <c r="AF28" s="6"/>
      <c r="AG28" s="7">
        <v>0</v>
      </c>
      <c r="AH28" s="6"/>
      <c r="AI28" s="7">
        <v>0</v>
      </c>
      <c r="AJ28" s="6"/>
      <c r="AK28" s="7">
        <v>0</v>
      </c>
      <c r="AL28" s="6"/>
      <c r="AM28" s="7">
        <v>0</v>
      </c>
      <c r="AN28" s="6"/>
      <c r="AO28" s="7">
        <v>0</v>
      </c>
      <c r="AP28" s="6"/>
      <c r="AQ28" s="7">
        <v>0</v>
      </c>
      <c r="AR28" s="6"/>
      <c r="AS28" s="7">
        <v>0</v>
      </c>
      <c r="AT28" s="6"/>
      <c r="AU28" s="7">
        <v>0</v>
      </c>
      <c r="AV28" s="6"/>
      <c r="AW28" s="7">
        <v>0</v>
      </c>
      <c r="AX28" s="6"/>
      <c r="AY28" s="7">
        <v>0</v>
      </c>
      <c r="AZ28" s="6"/>
      <c r="BA28" s="7">
        <v>0</v>
      </c>
      <c r="BB28" s="6"/>
      <c r="BC28" s="7">
        <v>0</v>
      </c>
      <c r="BD28" s="6"/>
      <c r="BE28" s="7">
        <v>0</v>
      </c>
      <c r="BF28" s="6"/>
      <c r="BG28" s="7">
        <v>0</v>
      </c>
      <c r="BH28" s="6"/>
      <c r="BI28" s="7">
        <v>0</v>
      </c>
      <c r="BJ28" s="6"/>
      <c r="BK28" s="7">
        <v>0</v>
      </c>
      <c r="BL28" s="6"/>
      <c r="BM28" s="7">
        <v>0</v>
      </c>
      <c r="BN28" s="6"/>
      <c r="BO28" s="7">
        <v>0</v>
      </c>
      <c r="BP28" s="6"/>
      <c r="BQ28" s="7">
        <f>ROUND(SUM(G28:BO28),5)</f>
        <v>1691013.91</v>
      </c>
    </row>
    <row r="29" spans="1:69">
      <c r="A29" s="4"/>
      <c r="B29" s="4"/>
      <c r="C29" s="4"/>
      <c r="D29" s="4"/>
      <c r="E29" s="4" t="s">
        <v>110</v>
      </c>
      <c r="F29" s="4"/>
      <c r="G29" s="7">
        <v>0</v>
      </c>
      <c r="H29" s="6"/>
      <c r="I29" s="7">
        <v>0</v>
      </c>
      <c r="J29" s="6"/>
      <c r="K29" s="7">
        <v>0</v>
      </c>
      <c r="L29" s="6"/>
      <c r="M29" s="7">
        <v>0</v>
      </c>
      <c r="N29" s="6"/>
      <c r="O29" s="7">
        <v>0</v>
      </c>
      <c r="P29" s="6"/>
      <c r="Q29" s="7">
        <v>0</v>
      </c>
      <c r="R29" s="6"/>
      <c r="S29" s="7">
        <v>0</v>
      </c>
      <c r="T29" s="6"/>
      <c r="U29" s="7">
        <v>0</v>
      </c>
      <c r="V29" s="6"/>
      <c r="W29" s="7">
        <v>0</v>
      </c>
      <c r="X29" s="6"/>
      <c r="Y29" s="7">
        <v>0</v>
      </c>
      <c r="Z29" s="6"/>
      <c r="AA29" s="7">
        <v>0</v>
      </c>
      <c r="AB29" s="6"/>
      <c r="AC29" s="7">
        <v>0</v>
      </c>
      <c r="AD29" s="6"/>
      <c r="AE29" s="7">
        <v>0</v>
      </c>
      <c r="AF29" s="6"/>
      <c r="AG29" s="7">
        <v>988184.54</v>
      </c>
      <c r="AH29" s="6"/>
      <c r="AI29" s="7">
        <v>58524.52</v>
      </c>
      <c r="AJ29" s="6"/>
      <c r="AK29" s="7">
        <v>174.53</v>
      </c>
      <c r="AL29" s="6"/>
      <c r="AM29" s="7">
        <v>0</v>
      </c>
      <c r="AN29" s="6"/>
      <c r="AO29" s="7">
        <v>0</v>
      </c>
      <c r="AP29" s="6"/>
      <c r="AQ29" s="7">
        <v>0</v>
      </c>
      <c r="AR29" s="6"/>
      <c r="AS29" s="7">
        <v>0</v>
      </c>
      <c r="AT29" s="6"/>
      <c r="AU29" s="7">
        <v>0</v>
      </c>
      <c r="AV29" s="6"/>
      <c r="AW29" s="7">
        <v>0</v>
      </c>
      <c r="AX29" s="6"/>
      <c r="AY29" s="7">
        <v>0</v>
      </c>
      <c r="AZ29" s="6"/>
      <c r="BA29" s="7">
        <v>0</v>
      </c>
      <c r="BB29" s="6"/>
      <c r="BC29" s="7">
        <v>0</v>
      </c>
      <c r="BD29" s="6"/>
      <c r="BE29" s="7">
        <v>0</v>
      </c>
      <c r="BF29" s="6"/>
      <c r="BG29" s="7">
        <v>0</v>
      </c>
      <c r="BH29" s="6"/>
      <c r="BI29" s="7">
        <v>0</v>
      </c>
      <c r="BJ29" s="6"/>
      <c r="BK29" s="7">
        <v>0</v>
      </c>
      <c r="BL29" s="6"/>
      <c r="BM29" s="7">
        <v>0</v>
      </c>
      <c r="BN29" s="6"/>
      <c r="BO29" s="7">
        <v>0</v>
      </c>
      <c r="BP29" s="6"/>
      <c r="BQ29" s="7">
        <f>ROUND(SUM(G29:BO29),5)</f>
        <v>1046883.59</v>
      </c>
    </row>
    <row r="30" spans="1:69" ht="15.75" thickBot="1">
      <c r="A30" s="4"/>
      <c r="B30" s="4"/>
      <c r="C30" s="4"/>
      <c r="D30" s="4"/>
      <c r="E30" s="4" t="s">
        <v>111</v>
      </c>
      <c r="F30" s="4"/>
      <c r="G30" s="7">
        <v>21389.71</v>
      </c>
      <c r="H30" s="6"/>
      <c r="I30" s="7">
        <v>0</v>
      </c>
      <c r="J30" s="6"/>
      <c r="K30" s="7">
        <v>0</v>
      </c>
      <c r="L30" s="6"/>
      <c r="M30" s="7">
        <v>0</v>
      </c>
      <c r="N30" s="6"/>
      <c r="O30" s="7">
        <v>0</v>
      </c>
      <c r="P30" s="6"/>
      <c r="Q30" s="7">
        <v>0</v>
      </c>
      <c r="R30" s="6"/>
      <c r="S30" s="7">
        <v>0</v>
      </c>
      <c r="T30" s="6"/>
      <c r="U30" s="7">
        <v>0</v>
      </c>
      <c r="V30" s="6"/>
      <c r="W30" s="7">
        <v>0</v>
      </c>
      <c r="X30" s="6"/>
      <c r="Y30" s="7">
        <v>0</v>
      </c>
      <c r="Z30" s="6"/>
      <c r="AA30" s="7">
        <v>0</v>
      </c>
      <c r="AB30" s="6"/>
      <c r="AC30" s="7">
        <v>0</v>
      </c>
      <c r="AD30" s="6"/>
      <c r="AE30" s="7">
        <v>0</v>
      </c>
      <c r="AF30" s="6"/>
      <c r="AG30" s="7">
        <v>0</v>
      </c>
      <c r="AH30" s="6"/>
      <c r="AI30" s="7">
        <v>0</v>
      </c>
      <c r="AJ30" s="6"/>
      <c r="AK30" s="7">
        <v>0</v>
      </c>
      <c r="AL30" s="6"/>
      <c r="AM30" s="7">
        <v>0</v>
      </c>
      <c r="AN30" s="6"/>
      <c r="AO30" s="7">
        <v>0</v>
      </c>
      <c r="AP30" s="6"/>
      <c r="AQ30" s="7">
        <v>0</v>
      </c>
      <c r="AR30" s="6"/>
      <c r="AS30" s="7">
        <v>0</v>
      </c>
      <c r="AT30" s="6"/>
      <c r="AU30" s="7">
        <v>0</v>
      </c>
      <c r="AV30" s="6"/>
      <c r="AW30" s="7">
        <v>0</v>
      </c>
      <c r="AX30" s="6"/>
      <c r="AY30" s="7">
        <v>0</v>
      </c>
      <c r="AZ30" s="6"/>
      <c r="BA30" s="7">
        <v>0</v>
      </c>
      <c r="BB30" s="6"/>
      <c r="BC30" s="7">
        <v>0</v>
      </c>
      <c r="BD30" s="6"/>
      <c r="BE30" s="7">
        <v>0</v>
      </c>
      <c r="BF30" s="6"/>
      <c r="BG30" s="7">
        <v>0</v>
      </c>
      <c r="BH30" s="6"/>
      <c r="BI30" s="7">
        <v>0</v>
      </c>
      <c r="BJ30" s="6"/>
      <c r="BK30" s="7">
        <v>0</v>
      </c>
      <c r="BL30" s="6"/>
      <c r="BM30" s="7">
        <v>0</v>
      </c>
      <c r="BN30" s="6"/>
      <c r="BO30" s="7">
        <v>0</v>
      </c>
      <c r="BP30" s="6"/>
      <c r="BQ30" s="7">
        <f>ROUND(SUM(G30:BO30),5)</f>
        <v>21389.71</v>
      </c>
    </row>
    <row r="31" spans="1:69" ht="15.75" thickBot="1">
      <c r="A31" s="4"/>
      <c r="B31" s="4"/>
      <c r="C31" s="4"/>
      <c r="D31" s="4" t="s">
        <v>112</v>
      </c>
      <c r="E31" s="4"/>
      <c r="F31" s="4"/>
      <c r="G31" s="8">
        <f>ROUND(SUM(G3:G24)+SUM(G27:G30),5)</f>
        <v>4680823.24</v>
      </c>
      <c r="H31" s="6"/>
      <c r="I31" s="8">
        <f>ROUND(SUM(I3:I24)+SUM(I27:I30),5)</f>
        <v>0</v>
      </c>
      <c r="J31" s="6"/>
      <c r="K31" s="8">
        <f>ROUND(SUM(K3:K24)+SUM(K27:K30),5)</f>
        <v>124843.8</v>
      </c>
      <c r="L31" s="6"/>
      <c r="M31" s="8">
        <f>ROUND(SUM(M3:M24)+SUM(M27:M30),5)</f>
        <v>75870.97</v>
      </c>
      <c r="N31" s="6"/>
      <c r="O31" s="8">
        <f>ROUND(SUM(O3:O24)+SUM(O27:O30),5)</f>
        <v>1502.85</v>
      </c>
      <c r="P31" s="6"/>
      <c r="Q31" s="8">
        <f>ROUND(SUM(Q3:Q24)+SUM(Q27:Q30),5)</f>
        <v>1029.3800000000001</v>
      </c>
      <c r="R31" s="6"/>
      <c r="S31" s="8">
        <f>ROUND(SUM(S3:S24)+SUM(S27:S30),5)</f>
        <v>0</v>
      </c>
      <c r="T31" s="6"/>
      <c r="U31" s="8">
        <f>ROUND(SUM(U3:U24)+SUM(U27:U30),5)</f>
        <v>0</v>
      </c>
      <c r="V31" s="6"/>
      <c r="W31" s="8">
        <f>ROUND(SUM(W3:W24)+SUM(W27:W30),5)</f>
        <v>19962.87</v>
      </c>
      <c r="X31" s="6"/>
      <c r="Y31" s="8">
        <f>ROUND(SUM(Y3:Y24)+SUM(Y27:Y30),5)</f>
        <v>0</v>
      </c>
      <c r="Z31" s="6"/>
      <c r="AA31" s="8">
        <f>ROUND(SUM(AA3:AA24)+SUM(AA27:AA30),5)</f>
        <v>1979.97</v>
      </c>
      <c r="AB31" s="6"/>
      <c r="AC31" s="8">
        <f>ROUND(SUM(AC3:AC24)+SUM(AC27:AC30),5)</f>
        <v>259000</v>
      </c>
      <c r="AD31" s="6"/>
      <c r="AE31" s="8">
        <f>ROUND(SUM(AE3:AE24)+SUM(AE27:AE30),5)</f>
        <v>127500</v>
      </c>
      <c r="AF31" s="6"/>
      <c r="AG31" s="8">
        <f>ROUND(SUM(AG3:AG24)+SUM(AG27:AG30),5)</f>
        <v>988657.7</v>
      </c>
      <c r="AH31" s="6"/>
      <c r="AI31" s="8">
        <f>ROUND(SUM(AI3:AI24)+SUM(AI27:AI30),5)</f>
        <v>58524.52</v>
      </c>
      <c r="AJ31" s="6"/>
      <c r="AK31" s="8">
        <f>ROUND(SUM(AK3:AK24)+SUM(AK27:AK30),5)</f>
        <v>174.53</v>
      </c>
      <c r="AL31" s="6"/>
      <c r="AM31" s="8">
        <f>ROUND(SUM(AM3:AM24)+SUM(AM27:AM30),5)</f>
        <v>170504.46</v>
      </c>
      <c r="AN31" s="6"/>
      <c r="AO31" s="8">
        <f>ROUND(SUM(AO3:AO24)+SUM(AO27:AO30),5)</f>
        <v>2999.68</v>
      </c>
      <c r="AP31" s="6"/>
      <c r="AQ31" s="8">
        <f>ROUND(SUM(AQ3:AQ24)+SUM(AQ27:AQ30),5)</f>
        <v>12254.29</v>
      </c>
      <c r="AR31" s="6"/>
      <c r="AS31" s="8">
        <f>ROUND(SUM(AS3:AS24)+SUM(AS27:AS30),5)</f>
        <v>22413.99</v>
      </c>
      <c r="AT31" s="6"/>
      <c r="AU31" s="8">
        <f>ROUND(SUM(AU3:AU24)+SUM(AU27:AU30),5)</f>
        <v>429800</v>
      </c>
      <c r="AV31" s="6"/>
      <c r="AW31" s="8">
        <f>ROUND(SUM(AW3:AW24)+SUM(AW27:AW30),5)</f>
        <v>-5365.12</v>
      </c>
      <c r="AX31" s="6"/>
      <c r="AY31" s="8">
        <f>ROUND(SUM(AY3:AY24)+SUM(AY27:AY30),5)</f>
        <v>202420.15</v>
      </c>
      <c r="AZ31" s="6"/>
      <c r="BA31" s="8">
        <f>ROUND(SUM(BA3:BA24)+SUM(BA27:BA30),5)</f>
        <v>33175.97</v>
      </c>
      <c r="BB31" s="6"/>
      <c r="BC31" s="8">
        <f>ROUND(SUM(BC3:BC24)+SUM(BC27:BC30),5)</f>
        <v>398.84</v>
      </c>
      <c r="BD31" s="6"/>
      <c r="BE31" s="8">
        <f>ROUND(SUM(BE3:BE24)+SUM(BE27:BE30),5)</f>
        <v>15926.11</v>
      </c>
      <c r="BF31" s="6"/>
      <c r="BG31" s="8">
        <f>ROUND(SUM(BG3:BG24)+SUM(BG27:BG30),5)</f>
        <v>5967.34</v>
      </c>
      <c r="BH31" s="6"/>
      <c r="BI31" s="8">
        <f>ROUND(SUM(BI3:BI24)+SUM(BI27:BI30),5)</f>
        <v>3780</v>
      </c>
      <c r="BJ31" s="6"/>
      <c r="BK31" s="8">
        <f>ROUND(SUM(BK3:BK24)+SUM(BK27:BK30),5)</f>
        <v>5860</v>
      </c>
      <c r="BL31" s="6"/>
      <c r="BM31" s="8">
        <f>ROUND(SUM(BM3:BM24)+SUM(BM27:BM30),5)</f>
        <v>100898.26</v>
      </c>
      <c r="BN31" s="6"/>
      <c r="BO31" s="8">
        <f>ROUND(SUM(BO3:BO24)+SUM(BO27:BO30),5)</f>
        <v>346132.54</v>
      </c>
      <c r="BP31" s="6"/>
      <c r="BQ31" s="8">
        <f>ROUND(SUM(G31:BO31),5)</f>
        <v>7687036.3399999999</v>
      </c>
    </row>
    <row r="32" spans="1:69">
      <c r="A32" s="4"/>
      <c r="B32" s="4"/>
      <c r="C32" s="4" t="s">
        <v>113</v>
      </c>
      <c r="D32" s="4"/>
      <c r="E32" s="4"/>
      <c r="F32" s="4"/>
      <c r="G32" s="7">
        <f>G31</f>
        <v>4680823.24</v>
      </c>
      <c r="H32" s="6"/>
      <c r="I32" s="7">
        <f>I31</f>
        <v>0</v>
      </c>
      <c r="J32" s="6"/>
      <c r="K32" s="7">
        <f>K31</f>
        <v>124843.8</v>
      </c>
      <c r="L32" s="6"/>
      <c r="M32" s="7">
        <f>M31</f>
        <v>75870.97</v>
      </c>
      <c r="N32" s="6"/>
      <c r="O32" s="7">
        <f>O31</f>
        <v>1502.85</v>
      </c>
      <c r="P32" s="6"/>
      <c r="Q32" s="7">
        <f>Q31</f>
        <v>1029.3800000000001</v>
      </c>
      <c r="R32" s="6"/>
      <c r="S32" s="7">
        <f>S31</f>
        <v>0</v>
      </c>
      <c r="T32" s="6"/>
      <c r="U32" s="7">
        <f>U31</f>
        <v>0</v>
      </c>
      <c r="V32" s="6"/>
      <c r="W32" s="7">
        <f>W31</f>
        <v>19962.87</v>
      </c>
      <c r="X32" s="6"/>
      <c r="Y32" s="7">
        <f>Y31</f>
        <v>0</v>
      </c>
      <c r="Z32" s="6"/>
      <c r="AA32" s="7">
        <f>AA31</f>
        <v>1979.97</v>
      </c>
      <c r="AB32" s="6"/>
      <c r="AC32" s="7">
        <f>AC31</f>
        <v>259000</v>
      </c>
      <c r="AD32" s="6"/>
      <c r="AE32" s="7">
        <f>AE31</f>
        <v>127500</v>
      </c>
      <c r="AF32" s="6"/>
      <c r="AG32" s="7">
        <f>AG31</f>
        <v>988657.7</v>
      </c>
      <c r="AH32" s="6"/>
      <c r="AI32" s="7">
        <f>AI31</f>
        <v>58524.52</v>
      </c>
      <c r="AJ32" s="6"/>
      <c r="AK32" s="7">
        <f>AK31</f>
        <v>174.53</v>
      </c>
      <c r="AL32" s="6"/>
      <c r="AM32" s="7">
        <f>AM31</f>
        <v>170504.46</v>
      </c>
      <c r="AN32" s="6"/>
      <c r="AO32" s="7">
        <f>AO31</f>
        <v>2999.68</v>
      </c>
      <c r="AP32" s="6"/>
      <c r="AQ32" s="7">
        <f>AQ31</f>
        <v>12254.29</v>
      </c>
      <c r="AR32" s="6"/>
      <c r="AS32" s="7">
        <f>AS31</f>
        <v>22413.99</v>
      </c>
      <c r="AT32" s="6"/>
      <c r="AU32" s="7">
        <f>AU31</f>
        <v>429800</v>
      </c>
      <c r="AV32" s="6"/>
      <c r="AW32" s="7">
        <f>AW31</f>
        <v>-5365.12</v>
      </c>
      <c r="AX32" s="6"/>
      <c r="AY32" s="7">
        <f>AY31</f>
        <v>202420.15</v>
      </c>
      <c r="AZ32" s="6"/>
      <c r="BA32" s="7">
        <f>BA31</f>
        <v>33175.97</v>
      </c>
      <c r="BB32" s="6"/>
      <c r="BC32" s="7">
        <f>BC31</f>
        <v>398.84</v>
      </c>
      <c r="BD32" s="6"/>
      <c r="BE32" s="7">
        <f>BE31</f>
        <v>15926.11</v>
      </c>
      <c r="BF32" s="6"/>
      <c r="BG32" s="7">
        <f>BG31</f>
        <v>5967.34</v>
      </c>
      <c r="BH32" s="6"/>
      <c r="BI32" s="7">
        <f>BI31</f>
        <v>3780</v>
      </c>
      <c r="BJ32" s="6"/>
      <c r="BK32" s="7">
        <f>BK31</f>
        <v>5860</v>
      </c>
      <c r="BL32" s="6"/>
      <c r="BM32" s="7">
        <f>BM31</f>
        <v>100898.26</v>
      </c>
      <c r="BN32" s="6"/>
      <c r="BO32" s="7">
        <f>BO31</f>
        <v>346132.54</v>
      </c>
      <c r="BP32" s="6"/>
      <c r="BQ32" s="7">
        <f>ROUND(SUM(G32:BO32),5)</f>
        <v>7687036.3399999999</v>
      </c>
    </row>
    <row r="33" spans="1:69">
      <c r="A33" s="4"/>
      <c r="B33" s="4"/>
      <c r="C33" s="4"/>
      <c r="D33" s="4" t="s">
        <v>114</v>
      </c>
      <c r="E33" s="4"/>
      <c r="F33" s="4"/>
      <c r="G33" s="7"/>
      <c r="H33" s="6"/>
      <c r="I33" s="7"/>
      <c r="J33" s="6"/>
      <c r="K33" s="7"/>
      <c r="L33" s="6"/>
      <c r="M33" s="7"/>
      <c r="N33" s="6"/>
      <c r="O33" s="7"/>
      <c r="P33" s="6"/>
      <c r="Q33" s="7"/>
      <c r="R33" s="6"/>
      <c r="S33" s="7"/>
      <c r="T33" s="6"/>
      <c r="U33" s="7"/>
      <c r="V33" s="6"/>
      <c r="W33" s="7"/>
      <c r="X33" s="6"/>
      <c r="Y33" s="7"/>
      <c r="Z33" s="6"/>
      <c r="AA33" s="7"/>
      <c r="AB33" s="6"/>
      <c r="AC33" s="7"/>
      <c r="AD33" s="6"/>
      <c r="AE33" s="7"/>
      <c r="AF33" s="6"/>
      <c r="AG33" s="7"/>
      <c r="AH33" s="6"/>
      <c r="AI33" s="7"/>
      <c r="AJ33" s="6"/>
      <c r="AK33" s="7"/>
      <c r="AL33" s="6"/>
      <c r="AM33" s="7"/>
      <c r="AN33" s="6"/>
      <c r="AO33" s="7"/>
      <c r="AP33" s="6"/>
      <c r="AQ33" s="7"/>
      <c r="AR33" s="6"/>
      <c r="AS33" s="7"/>
      <c r="AT33" s="6"/>
      <c r="AU33" s="7"/>
      <c r="AV33" s="6"/>
      <c r="AW33" s="7"/>
      <c r="AX33" s="6"/>
      <c r="AY33" s="7"/>
      <c r="AZ33" s="6"/>
      <c r="BA33" s="7"/>
      <c r="BB33" s="6"/>
      <c r="BC33" s="7"/>
      <c r="BD33" s="6"/>
      <c r="BE33" s="7"/>
      <c r="BF33" s="6"/>
      <c r="BG33" s="7"/>
      <c r="BH33" s="6"/>
      <c r="BI33" s="7"/>
      <c r="BJ33" s="6"/>
      <c r="BK33" s="7"/>
      <c r="BL33" s="6"/>
      <c r="BM33" s="7"/>
      <c r="BN33" s="6"/>
      <c r="BO33" s="7"/>
      <c r="BP33" s="6"/>
      <c r="BQ33" s="7"/>
    </row>
    <row r="34" spans="1:69">
      <c r="A34" s="4"/>
      <c r="B34" s="4"/>
      <c r="C34" s="4"/>
      <c r="D34" s="4"/>
      <c r="E34" s="4" t="s">
        <v>115</v>
      </c>
      <c r="F34" s="4"/>
      <c r="G34" s="7">
        <v>1691013.91</v>
      </c>
      <c r="H34" s="6"/>
      <c r="I34" s="7">
        <v>0</v>
      </c>
      <c r="J34" s="6"/>
      <c r="K34" s="7">
        <v>0</v>
      </c>
      <c r="L34" s="6"/>
      <c r="M34" s="7">
        <v>0</v>
      </c>
      <c r="N34" s="6"/>
      <c r="O34" s="7">
        <v>0</v>
      </c>
      <c r="P34" s="6"/>
      <c r="Q34" s="7">
        <v>0</v>
      </c>
      <c r="R34" s="6"/>
      <c r="S34" s="7">
        <v>0</v>
      </c>
      <c r="T34" s="6"/>
      <c r="U34" s="7">
        <v>0</v>
      </c>
      <c r="V34" s="6"/>
      <c r="W34" s="7">
        <v>0</v>
      </c>
      <c r="X34" s="6"/>
      <c r="Y34" s="7">
        <v>0</v>
      </c>
      <c r="Z34" s="6"/>
      <c r="AA34" s="7">
        <v>0</v>
      </c>
      <c r="AB34" s="6"/>
      <c r="AC34" s="7">
        <v>0</v>
      </c>
      <c r="AD34" s="6"/>
      <c r="AE34" s="7">
        <v>0</v>
      </c>
      <c r="AF34" s="6"/>
      <c r="AG34" s="7">
        <v>0</v>
      </c>
      <c r="AH34" s="6"/>
      <c r="AI34" s="7">
        <v>0</v>
      </c>
      <c r="AJ34" s="6"/>
      <c r="AK34" s="7">
        <v>0</v>
      </c>
      <c r="AL34" s="6"/>
      <c r="AM34" s="7">
        <v>0</v>
      </c>
      <c r="AN34" s="6"/>
      <c r="AO34" s="7">
        <v>0</v>
      </c>
      <c r="AP34" s="6"/>
      <c r="AQ34" s="7">
        <v>0</v>
      </c>
      <c r="AR34" s="6"/>
      <c r="AS34" s="7">
        <v>0</v>
      </c>
      <c r="AT34" s="6"/>
      <c r="AU34" s="7">
        <v>0</v>
      </c>
      <c r="AV34" s="6"/>
      <c r="AW34" s="7">
        <v>0</v>
      </c>
      <c r="AX34" s="6"/>
      <c r="AY34" s="7">
        <v>0</v>
      </c>
      <c r="AZ34" s="6"/>
      <c r="BA34" s="7">
        <v>0</v>
      </c>
      <c r="BB34" s="6"/>
      <c r="BC34" s="7">
        <v>0</v>
      </c>
      <c r="BD34" s="6"/>
      <c r="BE34" s="7">
        <v>0</v>
      </c>
      <c r="BF34" s="6"/>
      <c r="BG34" s="7">
        <v>0</v>
      </c>
      <c r="BH34" s="6"/>
      <c r="BI34" s="7">
        <v>0</v>
      </c>
      <c r="BJ34" s="6"/>
      <c r="BK34" s="7">
        <v>0</v>
      </c>
      <c r="BL34" s="6"/>
      <c r="BM34" s="7">
        <v>0</v>
      </c>
      <c r="BN34" s="6"/>
      <c r="BO34" s="7">
        <v>0</v>
      </c>
      <c r="BP34" s="6"/>
      <c r="BQ34" s="7">
        <f>ROUND(SUM(G34:BO34),5)</f>
        <v>1691013.91</v>
      </c>
    </row>
    <row r="35" spans="1:69">
      <c r="A35" s="4"/>
      <c r="B35" s="4"/>
      <c r="C35" s="4"/>
      <c r="D35" s="4"/>
      <c r="E35" s="4" t="s">
        <v>116</v>
      </c>
      <c r="F35" s="4"/>
      <c r="G35" s="7">
        <v>988184.54</v>
      </c>
      <c r="H35" s="6"/>
      <c r="I35" s="7">
        <v>0</v>
      </c>
      <c r="J35" s="6"/>
      <c r="K35" s="7">
        <v>0</v>
      </c>
      <c r="L35" s="6"/>
      <c r="M35" s="7">
        <v>58524.52</v>
      </c>
      <c r="N35" s="6"/>
      <c r="O35" s="7">
        <v>174.53</v>
      </c>
      <c r="P35" s="6"/>
      <c r="Q35" s="7">
        <v>0</v>
      </c>
      <c r="R35" s="6"/>
      <c r="S35" s="7">
        <v>0</v>
      </c>
      <c r="T35" s="6"/>
      <c r="U35" s="7">
        <v>0</v>
      </c>
      <c r="V35" s="6"/>
      <c r="W35" s="7">
        <v>0</v>
      </c>
      <c r="X35" s="6"/>
      <c r="Y35" s="7">
        <v>0</v>
      </c>
      <c r="Z35" s="6"/>
      <c r="AA35" s="7">
        <v>0</v>
      </c>
      <c r="AB35" s="6"/>
      <c r="AC35" s="7">
        <v>0</v>
      </c>
      <c r="AD35" s="6"/>
      <c r="AE35" s="7">
        <v>0</v>
      </c>
      <c r="AF35" s="6"/>
      <c r="AG35" s="7">
        <v>0</v>
      </c>
      <c r="AH35" s="6"/>
      <c r="AI35" s="7">
        <v>0</v>
      </c>
      <c r="AJ35" s="6"/>
      <c r="AK35" s="7">
        <v>0</v>
      </c>
      <c r="AL35" s="6"/>
      <c r="AM35" s="7">
        <v>0</v>
      </c>
      <c r="AN35" s="6"/>
      <c r="AO35" s="7">
        <v>0</v>
      </c>
      <c r="AP35" s="6"/>
      <c r="AQ35" s="7">
        <v>0</v>
      </c>
      <c r="AR35" s="6"/>
      <c r="AS35" s="7">
        <v>0</v>
      </c>
      <c r="AT35" s="6"/>
      <c r="AU35" s="7">
        <v>0</v>
      </c>
      <c r="AV35" s="6"/>
      <c r="AW35" s="7">
        <v>0</v>
      </c>
      <c r="AX35" s="6"/>
      <c r="AY35" s="7">
        <v>0</v>
      </c>
      <c r="AZ35" s="6"/>
      <c r="BA35" s="7">
        <v>0</v>
      </c>
      <c r="BB35" s="6"/>
      <c r="BC35" s="7">
        <v>0</v>
      </c>
      <c r="BD35" s="6"/>
      <c r="BE35" s="7">
        <v>0</v>
      </c>
      <c r="BF35" s="6"/>
      <c r="BG35" s="7">
        <v>0</v>
      </c>
      <c r="BH35" s="6"/>
      <c r="BI35" s="7">
        <v>0</v>
      </c>
      <c r="BJ35" s="6"/>
      <c r="BK35" s="7">
        <v>0</v>
      </c>
      <c r="BL35" s="6"/>
      <c r="BM35" s="7">
        <v>0</v>
      </c>
      <c r="BN35" s="6"/>
      <c r="BO35" s="7">
        <v>0</v>
      </c>
      <c r="BP35" s="6"/>
      <c r="BQ35" s="7">
        <f>ROUND(SUM(G35:BO35),5)</f>
        <v>1046883.59</v>
      </c>
    </row>
    <row r="36" spans="1:69">
      <c r="A36" s="4"/>
      <c r="B36" s="4"/>
      <c r="C36" s="4"/>
      <c r="D36" s="4"/>
      <c r="E36" s="4" t="s">
        <v>117</v>
      </c>
      <c r="F36" s="4"/>
      <c r="G36" s="7"/>
      <c r="H36" s="6"/>
      <c r="I36" s="7"/>
      <c r="J36" s="6"/>
      <c r="K36" s="7"/>
      <c r="L36" s="6"/>
      <c r="M36" s="7"/>
      <c r="N36" s="6"/>
      <c r="O36" s="7"/>
      <c r="P36" s="6"/>
      <c r="Q36" s="7"/>
      <c r="R36" s="6"/>
      <c r="S36" s="7"/>
      <c r="T36" s="6"/>
      <c r="U36" s="7"/>
      <c r="V36" s="6"/>
      <c r="W36" s="7"/>
      <c r="X36" s="6"/>
      <c r="Y36" s="7"/>
      <c r="Z36" s="6"/>
      <c r="AA36" s="7"/>
      <c r="AB36" s="6"/>
      <c r="AC36" s="7"/>
      <c r="AD36" s="6"/>
      <c r="AE36" s="7"/>
      <c r="AF36" s="6"/>
      <c r="AG36" s="7"/>
      <c r="AH36" s="6"/>
      <c r="AI36" s="7"/>
      <c r="AJ36" s="6"/>
      <c r="AK36" s="7"/>
      <c r="AL36" s="6"/>
      <c r="AM36" s="7"/>
      <c r="AN36" s="6"/>
      <c r="AO36" s="7"/>
      <c r="AP36" s="6"/>
      <c r="AQ36" s="7"/>
      <c r="AR36" s="6"/>
      <c r="AS36" s="7"/>
      <c r="AT36" s="6"/>
      <c r="AU36" s="7"/>
      <c r="AV36" s="6"/>
      <c r="AW36" s="7"/>
      <c r="AX36" s="6"/>
      <c r="AY36" s="7"/>
      <c r="AZ36" s="6"/>
      <c r="BA36" s="7"/>
      <c r="BB36" s="6"/>
      <c r="BC36" s="7"/>
      <c r="BD36" s="6"/>
      <c r="BE36" s="7"/>
      <c r="BF36" s="6"/>
      <c r="BG36" s="7"/>
      <c r="BH36" s="6"/>
      <c r="BI36" s="7"/>
      <c r="BJ36" s="6"/>
      <c r="BK36" s="7"/>
      <c r="BL36" s="6"/>
      <c r="BM36" s="7"/>
      <c r="BN36" s="6"/>
      <c r="BO36" s="7"/>
      <c r="BP36" s="6"/>
      <c r="BQ36" s="7"/>
    </row>
    <row r="37" spans="1:69">
      <c r="A37" s="4"/>
      <c r="B37" s="4"/>
      <c r="C37" s="4"/>
      <c r="D37" s="4"/>
      <c r="E37" s="4"/>
      <c r="F37" s="4" t="s">
        <v>118</v>
      </c>
      <c r="G37" s="7">
        <v>557793.35</v>
      </c>
      <c r="H37" s="6"/>
      <c r="I37" s="7">
        <v>0</v>
      </c>
      <c r="J37" s="6"/>
      <c r="K37" s="7">
        <v>0</v>
      </c>
      <c r="L37" s="6"/>
      <c r="M37" s="7">
        <v>35235.46</v>
      </c>
      <c r="N37" s="6"/>
      <c r="O37" s="7">
        <v>0</v>
      </c>
      <c r="P37" s="6"/>
      <c r="Q37" s="7">
        <v>0</v>
      </c>
      <c r="R37" s="6"/>
      <c r="S37" s="7">
        <v>0</v>
      </c>
      <c r="T37" s="6"/>
      <c r="U37" s="7">
        <v>0</v>
      </c>
      <c r="V37" s="6"/>
      <c r="W37" s="7">
        <v>0</v>
      </c>
      <c r="X37" s="6"/>
      <c r="Y37" s="7">
        <v>0</v>
      </c>
      <c r="Z37" s="6"/>
      <c r="AA37" s="7">
        <v>0</v>
      </c>
      <c r="AB37" s="6"/>
      <c r="AC37" s="7">
        <v>0</v>
      </c>
      <c r="AD37" s="6"/>
      <c r="AE37" s="7">
        <v>127500</v>
      </c>
      <c r="AF37" s="6"/>
      <c r="AG37" s="7">
        <v>0</v>
      </c>
      <c r="AH37" s="6"/>
      <c r="AI37" s="7">
        <v>0</v>
      </c>
      <c r="AJ37" s="6"/>
      <c r="AK37" s="7">
        <v>0</v>
      </c>
      <c r="AL37" s="6"/>
      <c r="AM37" s="7">
        <v>0</v>
      </c>
      <c r="AN37" s="6"/>
      <c r="AO37" s="7">
        <v>0</v>
      </c>
      <c r="AP37" s="6"/>
      <c r="AQ37" s="7">
        <v>12254.29</v>
      </c>
      <c r="AR37" s="6"/>
      <c r="AS37" s="7">
        <v>0</v>
      </c>
      <c r="AT37" s="6"/>
      <c r="AU37" s="7">
        <v>0</v>
      </c>
      <c r="AV37" s="6"/>
      <c r="AW37" s="7">
        <v>0</v>
      </c>
      <c r="AX37" s="6"/>
      <c r="AY37" s="7">
        <v>3262.5</v>
      </c>
      <c r="AZ37" s="6"/>
      <c r="BA37" s="7">
        <v>0</v>
      </c>
      <c r="BB37" s="6"/>
      <c r="BC37" s="7">
        <v>0</v>
      </c>
      <c r="BD37" s="6"/>
      <c r="BE37" s="7">
        <v>0</v>
      </c>
      <c r="BF37" s="6"/>
      <c r="BG37" s="7">
        <v>0</v>
      </c>
      <c r="BH37" s="6"/>
      <c r="BI37" s="7">
        <v>0</v>
      </c>
      <c r="BJ37" s="6"/>
      <c r="BK37" s="7">
        <v>0</v>
      </c>
      <c r="BL37" s="6"/>
      <c r="BM37" s="7">
        <v>48760.06</v>
      </c>
      <c r="BN37" s="6"/>
      <c r="BO37" s="7">
        <v>38100.949999999997</v>
      </c>
      <c r="BP37" s="6"/>
      <c r="BQ37" s="7">
        <f>ROUND(SUM(G37:BO37),5)</f>
        <v>822906.61</v>
      </c>
    </row>
    <row r="38" spans="1:69">
      <c r="A38" s="4"/>
      <c r="B38" s="4"/>
      <c r="C38" s="4"/>
      <c r="D38" s="4"/>
      <c r="E38" s="4"/>
      <c r="F38" s="4" t="s">
        <v>119</v>
      </c>
      <c r="G38" s="7">
        <v>0</v>
      </c>
      <c r="H38" s="6"/>
      <c r="I38" s="7">
        <v>0</v>
      </c>
      <c r="J38" s="6"/>
      <c r="K38" s="7">
        <v>0</v>
      </c>
      <c r="L38" s="6"/>
      <c r="M38" s="7">
        <v>0</v>
      </c>
      <c r="N38" s="6"/>
      <c r="O38" s="7">
        <v>0</v>
      </c>
      <c r="P38" s="6"/>
      <c r="Q38" s="7">
        <v>0</v>
      </c>
      <c r="R38" s="6"/>
      <c r="S38" s="7">
        <v>0</v>
      </c>
      <c r="T38" s="6"/>
      <c r="U38" s="7">
        <v>2500</v>
      </c>
      <c r="V38" s="6"/>
      <c r="W38" s="7">
        <v>0</v>
      </c>
      <c r="X38" s="6"/>
      <c r="Y38" s="7">
        <v>0</v>
      </c>
      <c r="Z38" s="6"/>
      <c r="AA38" s="7">
        <v>0</v>
      </c>
      <c r="AB38" s="6"/>
      <c r="AC38" s="7">
        <v>0</v>
      </c>
      <c r="AD38" s="6"/>
      <c r="AE38" s="7">
        <v>0</v>
      </c>
      <c r="AF38" s="6"/>
      <c r="AG38" s="7">
        <v>0</v>
      </c>
      <c r="AH38" s="6"/>
      <c r="AI38" s="7">
        <v>0</v>
      </c>
      <c r="AJ38" s="6"/>
      <c r="AK38" s="7">
        <v>0</v>
      </c>
      <c r="AL38" s="6"/>
      <c r="AM38" s="7">
        <v>0</v>
      </c>
      <c r="AN38" s="6"/>
      <c r="AO38" s="7">
        <v>0</v>
      </c>
      <c r="AP38" s="6"/>
      <c r="AQ38" s="7">
        <v>0</v>
      </c>
      <c r="AR38" s="6"/>
      <c r="AS38" s="7">
        <v>0</v>
      </c>
      <c r="AT38" s="6"/>
      <c r="AU38" s="7">
        <v>0</v>
      </c>
      <c r="AV38" s="6"/>
      <c r="AW38" s="7">
        <v>0</v>
      </c>
      <c r="AX38" s="6"/>
      <c r="AY38" s="7">
        <v>0</v>
      </c>
      <c r="AZ38" s="6"/>
      <c r="BA38" s="7">
        <v>0</v>
      </c>
      <c r="BB38" s="6"/>
      <c r="BC38" s="7">
        <v>0</v>
      </c>
      <c r="BD38" s="6"/>
      <c r="BE38" s="7">
        <v>0</v>
      </c>
      <c r="BF38" s="6"/>
      <c r="BG38" s="7">
        <v>0</v>
      </c>
      <c r="BH38" s="6"/>
      <c r="BI38" s="7">
        <v>0</v>
      </c>
      <c r="BJ38" s="6"/>
      <c r="BK38" s="7">
        <v>0</v>
      </c>
      <c r="BL38" s="6"/>
      <c r="BM38" s="7">
        <v>0</v>
      </c>
      <c r="BN38" s="6"/>
      <c r="BO38" s="7">
        <v>0</v>
      </c>
      <c r="BP38" s="6"/>
      <c r="BQ38" s="7">
        <f>ROUND(SUM(G38:BO38),5)</f>
        <v>2500</v>
      </c>
    </row>
    <row r="39" spans="1:69">
      <c r="A39" s="4"/>
      <c r="B39" s="4"/>
      <c r="C39" s="4"/>
      <c r="D39" s="4"/>
      <c r="E39" s="4"/>
      <c r="F39" s="4" t="s">
        <v>120</v>
      </c>
      <c r="G39" s="7">
        <v>99383.86</v>
      </c>
      <c r="H39" s="6"/>
      <c r="I39" s="7">
        <v>0</v>
      </c>
      <c r="J39" s="6"/>
      <c r="K39" s="7">
        <v>0</v>
      </c>
      <c r="L39" s="6"/>
      <c r="M39" s="7">
        <v>0</v>
      </c>
      <c r="N39" s="6"/>
      <c r="O39" s="7">
        <v>0</v>
      </c>
      <c r="P39" s="6"/>
      <c r="Q39" s="7">
        <v>0</v>
      </c>
      <c r="R39" s="6"/>
      <c r="S39" s="7">
        <v>0</v>
      </c>
      <c r="T39" s="6"/>
      <c r="U39" s="7">
        <v>1222.5</v>
      </c>
      <c r="V39" s="6"/>
      <c r="W39" s="7">
        <v>0</v>
      </c>
      <c r="X39" s="6"/>
      <c r="Y39" s="7">
        <v>0</v>
      </c>
      <c r="Z39" s="6"/>
      <c r="AA39" s="7">
        <v>0</v>
      </c>
      <c r="AB39" s="6"/>
      <c r="AC39" s="7">
        <v>0</v>
      </c>
      <c r="AD39" s="6"/>
      <c r="AE39" s="7">
        <v>0</v>
      </c>
      <c r="AF39" s="6"/>
      <c r="AG39" s="7">
        <v>0</v>
      </c>
      <c r="AH39" s="6"/>
      <c r="AI39" s="7">
        <v>0</v>
      </c>
      <c r="AJ39" s="6"/>
      <c r="AK39" s="7">
        <v>0</v>
      </c>
      <c r="AL39" s="6"/>
      <c r="AM39" s="7">
        <v>0</v>
      </c>
      <c r="AN39" s="6"/>
      <c r="AO39" s="7">
        <v>0</v>
      </c>
      <c r="AP39" s="6"/>
      <c r="AQ39" s="7">
        <v>0</v>
      </c>
      <c r="AR39" s="6"/>
      <c r="AS39" s="7">
        <v>0</v>
      </c>
      <c r="AT39" s="6"/>
      <c r="AU39" s="7">
        <v>0</v>
      </c>
      <c r="AV39" s="6"/>
      <c r="AW39" s="7">
        <v>0</v>
      </c>
      <c r="AX39" s="6"/>
      <c r="AY39" s="7">
        <v>0</v>
      </c>
      <c r="AZ39" s="6"/>
      <c r="BA39" s="7">
        <v>7220.49</v>
      </c>
      <c r="BB39" s="6"/>
      <c r="BC39" s="7">
        <v>0</v>
      </c>
      <c r="BD39" s="6"/>
      <c r="BE39" s="7">
        <v>0</v>
      </c>
      <c r="BF39" s="6"/>
      <c r="BG39" s="7">
        <v>0</v>
      </c>
      <c r="BH39" s="6"/>
      <c r="BI39" s="7">
        <v>0</v>
      </c>
      <c r="BJ39" s="6"/>
      <c r="BK39" s="7">
        <v>0</v>
      </c>
      <c r="BL39" s="6"/>
      <c r="BM39" s="7">
        <v>0</v>
      </c>
      <c r="BN39" s="6"/>
      <c r="BO39" s="7">
        <v>0</v>
      </c>
      <c r="BP39" s="6"/>
      <c r="BQ39" s="7">
        <f>ROUND(SUM(G39:BO39),5)</f>
        <v>107826.85</v>
      </c>
    </row>
    <row r="40" spans="1:69">
      <c r="A40" s="4"/>
      <c r="B40" s="4"/>
      <c r="C40" s="4"/>
      <c r="D40" s="4"/>
      <c r="E40" s="4"/>
      <c r="F40" s="4" t="s">
        <v>121</v>
      </c>
      <c r="G40" s="7">
        <v>5261</v>
      </c>
      <c r="H40" s="6"/>
      <c r="I40" s="7">
        <v>0</v>
      </c>
      <c r="J40" s="6"/>
      <c r="K40" s="7">
        <v>0</v>
      </c>
      <c r="L40" s="6"/>
      <c r="M40" s="7">
        <v>7370</v>
      </c>
      <c r="N40" s="6"/>
      <c r="O40" s="7">
        <v>0</v>
      </c>
      <c r="P40" s="6"/>
      <c r="Q40" s="7">
        <v>0</v>
      </c>
      <c r="R40" s="6"/>
      <c r="S40" s="7">
        <v>0</v>
      </c>
      <c r="T40" s="6"/>
      <c r="U40" s="7">
        <v>3756.5</v>
      </c>
      <c r="V40" s="6"/>
      <c r="W40" s="7">
        <v>0</v>
      </c>
      <c r="X40" s="6"/>
      <c r="Y40" s="7">
        <v>0</v>
      </c>
      <c r="Z40" s="6"/>
      <c r="AA40" s="7">
        <v>0</v>
      </c>
      <c r="AB40" s="6"/>
      <c r="AC40" s="7">
        <v>0</v>
      </c>
      <c r="AD40" s="6"/>
      <c r="AE40" s="7">
        <v>0</v>
      </c>
      <c r="AF40" s="6"/>
      <c r="AG40" s="7">
        <v>0</v>
      </c>
      <c r="AH40" s="6"/>
      <c r="AI40" s="7">
        <v>0</v>
      </c>
      <c r="AJ40" s="6"/>
      <c r="AK40" s="7">
        <v>0</v>
      </c>
      <c r="AL40" s="6"/>
      <c r="AM40" s="7">
        <v>0</v>
      </c>
      <c r="AN40" s="6"/>
      <c r="AO40" s="7">
        <v>0</v>
      </c>
      <c r="AP40" s="6"/>
      <c r="AQ40" s="7">
        <v>0</v>
      </c>
      <c r="AR40" s="6"/>
      <c r="AS40" s="7">
        <v>0</v>
      </c>
      <c r="AT40" s="6"/>
      <c r="AU40" s="7">
        <v>0</v>
      </c>
      <c r="AV40" s="6"/>
      <c r="AW40" s="7">
        <v>0</v>
      </c>
      <c r="AX40" s="6"/>
      <c r="AY40" s="7">
        <v>0</v>
      </c>
      <c r="AZ40" s="6"/>
      <c r="BA40" s="7">
        <v>0</v>
      </c>
      <c r="BB40" s="6"/>
      <c r="BC40" s="7">
        <v>0</v>
      </c>
      <c r="BD40" s="6"/>
      <c r="BE40" s="7">
        <v>0</v>
      </c>
      <c r="BF40" s="6"/>
      <c r="BG40" s="7">
        <v>1400</v>
      </c>
      <c r="BH40" s="6"/>
      <c r="BI40" s="7">
        <v>0</v>
      </c>
      <c r="BJ40" s="6"/>
      <c r="BK40" s="7">
        <v>0</v>
      </c>
      <c r="BL40" s="6"/>
      <c r="BM40" s="7">
        <v>0</v>
      </c>
      <c r="BN40" s="6"/>
      <c r="BO40" s="7">
        <v>0</v>
      </c>
      <c r="BP40" s="6"/>
      <c r="BQ40" s="7">
        <f>ROUND(SUM(G40:BO40),5)</f>
        <v>17787.5</v>
      </c>
    </row>
    <row r="41" spans="1:69">
      <c r="A41" s="4"/>
      <c r="B41" s="4"/>
      <c r="C41" s="4"/>
      <c r="D41" s="4"/>
      <c r="E41" s="4"/>
      <c r="F41" s="4" t="s">
        <v>122</v>
      </c>
      <c r="G41" s="7">
        <v>705</v>
      </c>
      <c r="H41" s="6"/>
      <c r="I41" s="7">
        <v>0</v>
      </c>
      <c r="J41" s="6"/>
      <c r="K41" s="7">
        <v>0</v>
      </c>
      <c r="L41" s="6"/>
      <c r="M41" s="7">
        <v>0</v>
      </c>
      <c r="N41" s="6"/>
      <c r="O41" s="7">
        <v>0</v>
      </c>
      <c r="P41" s="6"/>
      <c r="Q41" s="7">
        <v>0</v>
      </c>
      <c r="R41" s="6"/>
      <c r="S41" s="7">
        <v>0</v>
      </c>
      <c r="T41" s="6"/>
      <c r="U41" s="7">
        <v>0</v>
      </c>
      <c r="V41" s="6"/>
      <c r="W41" s="7">
        <v>0</v>
      </c>
      <c r="X41" s="6"/>
      <c r="Y41" s="7">
        <v>0</v>
      </c>
      <c r="Z41" s="6"/>
      <c r="AA41" s="7">
        <v>0</v>
      </c>
      <c r="AB41" s="6"/>
      <c r="AC41" s="7">
        <v>0</v>
      </c>
      <c r="AD41" s="6"/>
      <c r="AE41" s="7">
        <v>0</v>
      </c>
      <c r="AF41" s="6"/>
      <c r="AG41" s="7">
        <v>0</v>
      </c>
      <c r="AH41" s="6"/>
      <c r="AI41" s="7">
        <v>0</v>
      </c>
      <c r="AJ41" s="6"/>
      <c r="AK41" s="7">
        <v>0</v>
      </c>
      <c r="AL41" s="6"/>
      <c r="AM41" s="7">
        <v>0</v>
      </c>
      <c r="AN41" s="6"/>
      <c r="AO41" s="7">
        <v>0</v>
      </c>
      <c r="AP41" s="6"/>
      <c r="AQ41" s="7">
        <v>0</v>
      </c>
      <c r="AR41" s="6"/>
      <c r="AS41" s="7">
        <v>0</v>
      </c>
      <c r="AT41" s="6"/>
      <c r="AU41" s="7">
        <v>0</v>
      </c>
      <c r="AV41" s="6"/>
      <c r="AW41" s="7">
        <v>0</v>
      </c>
      <c r="AX41" s="6"/>
      <c r="AY41" s="7">
        <v>0</v>
      </c>
      <c r="AZ41" s="6"/>
      <c r="BA41" s="7">
        <v>0</v>
      </c>
      <c r="BB41" s="6"/>
      <c r="BC41" s="7">
        <v>0</v>
      </c>
      <c r="BD41" s="6"/>
      <c r="BE41" s="7">
        <v>0</v>
      </c>
      <c r="BF41" s="6"/>
      <c r="BG41" s="7">
        <v>0</v>
      </c>
      <c r="BH41" s="6"/>
      <c r="BI41" s="7">
        <v>0</v>
      </c>
      <c r="BJ41" s="6"/>
      <c r="BK41" s="7">
        <v>0</v>
      </c>
      <c r="BL41" s="6"/>
      <c r="BM41" s="7">
        <v>0</v>
      </c>
      <c r="BN41" s="6"/>
      <c r="BO41" s="7">
        <v>0</v>
      </c>
      <c r="BP41" s="6"/>
      <c r="BQ41" s="7">
        <f>ROUND(SUM(G41:BO41),5)</f>
        <v>705</v>
      </c>
    </row>
    <row r="42" spans="1:69">
      <c r="A42" s="4"/>
      <c r="B42" s="4"/>
      <c r="C42" s="4"/>
      <c r="D42" s="4"/>
      <c r="E42" s="4"/>
      <c r="F42" s="4" t="s">
        <v>123</v>
      </c>
      <c r="G42" s="7">
        <v>27295</v>
      </c>
      <c r="H42" s="6"/>
      <c r="I42" s="7">
        <v>0</v>
      </c>
      <c r="J42" s="6"/>
      <c r="K42" s="7">
        <v>0</v>
      </c>
      <c r="L42" s="6"/>
      <c r="M42" s="7">
        <v>9000</v>
      </c>
      <c r="N42" s="6"/>
      <c r="O42" s="7">
        <v>0</v>
      </c>
      <c r="P42" s="6"/>
      <c r="Q42" s="7">
        <v>0</v>
      </c>
      <c r="R42" s="6"/>
      <c r="S42" s="7">
        <v>0</v>
      </c>
      <c r="T42" s="6"/>
      <c r="U42" s="7">
        <v>0</v>
      </c>
      <c r="V42" s="6"/>
      <c r="W42" s="7">
        <v>0</v>
      </c>
      <c r="X42" s="6"/>
      <c r="Y42" s="7">
        <v>0</v>
      </c>
      <c r="Z42" s="6"/>
      <c r="AA42" s="7">
        <v>0</v>
      </c>
      <c r="AB42" s="6"/>
      <c r="AC42" s="7">
        <v>0</v>
      </c>
      <c r="AD42" s="6"/>
      <c r="AE42" s="7">
        <v>0</v>
      </c>
      <c r="AF42" s="6"/>
      <c r="AG42" s="7">
        <v>0</v>
      </c>
      <c r="AH42" s="6"/>
      <c r="AI42" s="7">
        <v>0</v>
      </c>
      <c r="AJ42" s="6"/>
      <c r="AK42" s="7">
        <v>0</v>
      </c>
      <c r="AL42" s="6"/>
      <c r="AM42" s="7">
        <v>0</v>
      </c>
      <c r="AN42" s="6"/>
      <c r="AO42" s="7">
        <v>0</v>
      </c>
      <c r="AP42" s="6"/>
      <c r="AQ42" s="7">
        <v>0</v>
      </c>
      <c r="AR42" s="6"/>
      <c r="AS42" s="7">
        <v>500</v>
      </c>
      <c r="AT42" s="6"/>
      <c r="AU42" s="7">
        <v>0</v>
      </c>
      <c r="AV42" s="6"/>
      <c r="AW42" s="7">
        <v>0</v>
      </c>
      <c r="AX42" s="6"/>
      <c r="AY42" s="7">
        <v>0</v>
      </c>
      <c r="AZ42" s="6"/>
      <c r="BA42" s="7">
        <v>0</v>
      </c>
      <c r="BB42" s="6"/>
      <c r="BC42" s="7">
        <v>0</v>
      </c>
      <c r="BD42" s="6"/>
      <c r="BE42" s="7">
        <v>0</v>
      </c>
      <c r="BF42" s="6"/>
      <c r="BG42" s="7">
        <v>2800</v>
      </c>
      <c r="BH42" s="6"/>
      <c r="BI42" s="7">
        <v>0</v>
      </c>
      <c r="BJ42" s="6"/>
      <c r="BK42" s="7">
        <v>2175</v>
      </c>
      <c r="BL42" s="6"/>
      <c r="BM42" s="7">
        <v>0</v>
      </c>
      <c r="BN42" s="6"/>
      <c r="BO42" s="7">
        <v>0</v>
      </c>
      <c r="BP42" s="6"/>
      <c r="BQ42" s="7">
        <f>ROUND(SUM(G42:BO42),5)</f>
        <v>41770</v>
      </c>
    </row>
    <row r="43" spans="1:69">
      <c r="A43" s="4"/>
      <c r="B43" s="4"/>
      <c r="C43" s="4"/>
      <c r="D43" s="4"/>
      <c r="E43" s="4"/>
      <c r="F43" s="4" t="s">
        <v>124</v>
      </c>
      <c r="G43" s="7">
        <v>14819.3</v>
      </c>
      <c r="H43" s="6"/>
      <c r="I43" s="7">
        <v>0</v>
      </c>
      <c r="J43" s="6"/>
      <c r="K43" s="7">
        <v>0</v>
      </c>
      <c r="L43" s="6"/>
      <c r="M43" s="7">
        <v>823.14</v>
      </c>
      <c r="N43" s="6"/>
      <c r="O43" s="7">
        <v>0</v>
      </c>
      <c r="P43" s="6"/>
      <c r="Q43" s="7">
        <v>0</v>
      </c>
      <c r="R43" s="6"/>
      <c r="S43" s="7">
        <v>0</v>
      </c>
      <c r="T43" s="6"/>
      <c r="U43" s="7">
        <v>191.25</v>
      </c>
      <c r="V43" s="6"/>
      <c r="W43" s="7">
        <v>0</v>
      </c>
      <c r="X43" s="6"/>
      <c r="Y43" s="7">
        <v>0</v>
      </c>
      <c r="Z43" s="6"/>
      <c r="AA43" s="7">
        <v>0</v>
      </c>
      <c r="AB43" s="6"/>
      <c r="AC43" s="7">
        <v>0</v>
      </c>
      <c r="AD43" s="6"/>
      <c r="AE43" s="7">
        <v>0</v>
      </c>
      <c r="AF43" s="6"/>
      <c r="AG43" s="7">
        <v>0</v>
      </c>
      <c r="AH43" s="6"/>
      <c r="AI43" s="7">
        <v>0</v>
      </c>
      <c r="AJ43" s="6"/>
      <c r="AK43" s="7">
        <v>0</v>
      </c>
      <c r="AL43" s="6"/>
      <c r="AM43" s="7">
        <v>0</v>
      </c>
      <c r="AN43" s="6"/>
      <c r="AO43" s="7">
        <v>0</v>
      </c>
      <c r="AP43" s="6"/>
      <c r="AQ43" s="7">
        <v>0</v>
      </c>
      <c r="AR43" s="6"/>
      <c r="AS43" s="7">
        <v>0</v>
      </c>
      <c r="AT43" s="6"/>
      <c r="AU43" s="7">
        <v>0</v>
      </c>
      <c r="AV43" s="6"/>
      <c r="AW43" s="7">
        <v>0</v>
      </c>
      <c r="AX43" s="6"/>
      <c r="AY43" s="7">
        <v>0</v>
      </c>
      <c r="AZ43" s="6"/>
      <c r="BA43" s="7">
        <v>0</v>
      </c>
      <c r="BB43" s="6"/>
      <c r="BC43" s="7">
        <v>0</v>
      </c>
      <c r="BD43" s="6"/>
      <c r="BE43" s="7">
        <v>0</v>
      </c>
      <c r="BF43" s="6"/>
      <c r="BG43" s="7">
        <v>0</v>
      </c>
      <c r="BH43" s="6"/>
      <c r="BI43" s="7">
        <v>0</v>
      </c>
      <c r="BJ43" s="6"/>
      <c r="BK43" s="7">
        <v>0</v>
      </c>
      <c r="BL43" s="6"/>
      <c r="BM43" s="7">
        <v>0</v>
      </c>
      <c r="BN43" s="6"/>
      <c r="BO43" s="7">
        <v>0</v>
      </c>
      <c r="BP43" s="6"/>
      <c r="BQ43" s="7">
        <f>ROUND(SUM(G43:BO43),5)</f>
        <v>15833.69</v>
      </c>
    </row>
    <row r="44" spans="1:69">
      <c r="A44" s="4"/>
      <c r="B44" s="4"/>
      <c r="C44" s="4"/>
      <c r="D44" s="4"/>
      <c r="E44" s="4"/>
      <c r="F44" s="4" t="s">
        <v>125</v>
      </c>
      <c r="G44" s="7">
        <v>46856.47</v>
      </c>
      <c r="H44" s="6"/>
      <c r="I44" s="7">
        <v>0</v>
      </c>
      <c r="J44" s="6"/>
      <c r="K44" s="7">
        <v>0</v>
      </c>
      <c r="L44" s="6"/>
      <c r="M44" s="7">
        <v>3357.03</v>
      </c>
      <c r="N44" s="6"/>
      <c r="O44" s="7">
        <v>0</v>
      </c>
      <c r="P44" s="6"/>
      <c r="Q44" s="7">
        <v>0</v>
      </c>
      <c r="R44" s="6"/>
      <c r="S44" s="7">
        <v>0</v>
      </c>
      <c r="T44" s="6"/>
      <c r="U44" s="7">
        <v>0</v>
      </c>
      <c r="V44" s="6"/>
      <c r="W44" s="7">
        <v>0</v>
      </c>
      <c r="X44" s="6"/>
      <c r="Y44" s="7">
        <v>0</v>
      </c>
      <c r="Z44" s="6"/>
      <c r="AA44" s="7">
        <v>0</v>
      </c>
      <c r="AB44" s="6"/>
      <c r="AC44" s="7">
        <v>0</v>
      </c>
      <c r="AD44" s="6"/>
      <c r="AE44" s="7">
        <v>0</v>
      </c>
      <c r="AF44" s="6"/>
      <c r="AG44" s="7">
        <v>0</v>
      </c>
      <c r="AH44" s="6"/>
      <c r="AI44" s="7">
        <v>0</v>
      </c>
      <c r="AJ44" s="6"/>
      <c r="AK44" s="7">
        <v>0</v>
      </c>
      <c r="AL44" s="6"/>
      <c r="AM44" s="7">
        <v>0</v>
      </c>
      <c r="AN44" s="6"/>
      <c r="AO44" s="7">
        <v>0</v>
      </c>
      <c r="AP44" s="6"/>
      <c r="AQ44" s="7">
        <v>0</v>
      </c>
      <c r="AR44" s="6"/>
      <c r="AS44" s="7">
        <v>0</v>
      </c>
      <c r="AT44" s="6"/>
      <c r="AU44" s="7">
        <v>0</v>
      </c>
      <c r="AV44" s="6"/>
      <c r="AW44" s="7">
        <v>0</v>
      </c>
      <c r="AX44" s="6"/>
      <c r="AY44" s="7">
        <v>0</v>
      </c>
      <c r="AZ44" s="6"/>
      <c r="BA44" s="7">
        <v>0</v>
      </c>
      <c r="BB44" s="6"/>
      <c r="BC44" s="7">
        <v>0</v>
      </c>
      <c r="BD44" s="6"/>
      <c r="BE44" s="7">
        <v>0</v>
      </c>
      <c r="BF44" s="6"/>
      <c r="BG44" s="7">
        <v>0</v>
      </c>
      <c r="BH44" s="6"/>
      <c r="BI44" s="7">
        <v>0</v>
      </c>
      <c r="BJ44" s="6"/>
      <c r="BK44" s="7">
        <v>0</v>
      </c>
      <c r="BL44" s="6"/>
      <c r="BM44" s="7">
        <v>3730.15</v>
      </c>
      <c r="BN44" s="6"/>
      <c r="BO44" s="7">
        <v>2914.78</v>
      </c>
      <c r="BP44" s="6"/>
      <c r="BQ44" s="7">
        <f>ROUND(SUM(G44:BO44),5)</f>
        <v>56858.43</v>
      </c>
    </row>
    <row r="45" spans="1:69">
      <c r="A45" s="4"/>
      <c r="B45" s="4"/>
      <c r="C45" s="4"/>
      <c r="D45" s="4"/>
      <c r="E45" s="4"/>
      <c r="F45" s="4" t="s">
        <v>126</v>
      </c>
      <c r="G45" s="7">
        <v>102465.02</v>
      </c>
      <c r="H45" s="6"/>
      <c r="I45" s="7">
        <v>0</v>
      </c>
      <c r="J45" s="6"/>
      <c r="K45" s="7">
        <v>0</v>
      </c>
      <c r="L45" s="6"/>
      <c r="M45" s="7">
        <v>0</v>
      </c>
      <c r="N45" s="6"/>
      <c r="O45" s="7">
        <v>0</v>
      </c>
      <c r="P45" s="6"/>
      <c r="Q45" s="7">
        <v>0</v>
      </c>
      <c r="R45" s="6"/>
      <c r="S45" s="7">
        <v>0</v>
      </c>
      <c r="T45" s="6"/>
      <c r="U45" s="7">
        <v>0</v>
      </c>
      <c r="V45" s="6"/>
      <c r="W45" s="7">
        <v>0</v>
      </c>
      <c r="X45" s="6"/>
      <c r="Y45" s="7">
        <v>0</v>
      </c>
      <c r="Z45" s="6"/>
      <c r="AA45" s="7">
        <v>0</v>
      </c>
      <c r="AB45" s="6"/>
      <c r="AC45" s="7">
        <v>0</v>
      </c>
      <c r="AD45" s="6"/>
      <c r="AE45" s="7">
        <v>0</v>
      </c>
      <c r="AF45" s="6"/>
      <c r="AG45" s="7">
        <v>0</v>
      </c>
      <c r="AH45" s="6"/>
      <c r="AI45" s="7">
        <v>0</v>
      </c>
      <c r="AJ45" s="6"/>
      <c r="AK45" s="7">
        <v>0</v>
      </c>
      <c r="AL45" s="6"/>
      <c r="AM45" s="7">
        <v>0</v>
      </c>
      <c r="AN45" s="6"/>
      <c r="AO45" s="7">
        <v>0</v>
      </c>
      <c r="AP45" s="6"/>
      <c r="AQ45" s="7">
        <v>0</v>
      </c>
      <c r="AR45" s="6"/>
      <c r="AS45" s="7">
        <v>0</v>
      </c>
      <c r="AT45" s="6"/>
      <c r="AU45" s="7">
        <v>0</v>
      </c>
      <c r="AV45" s="6"/>
      <c r="AW45" s="7">
        <v>0</v>
      </c>
      <c r="AX45" s="6"/>
      <c r="AY45" s="7">
        <v>0</v>
      </c>
      <c r="AZ45" s="6"/>
      <c r="BA45" s="7">
        <v>-216.74</v>
      </c>
      <c r="BB45" s="6"/>
      <c r="BC45" s="7">
        <v>0</v>
      </c>
      <c r="BD45" s="6"/>
      <c r="BE45" s="7">
        <v>0</v>
      </c>
      <c r="BF45" s="6"/>
      <c r="BG45" s="7">
        <v>0</v>
      </c>
      <c r="BH45" s="6"/>
      <c r="BI45" s="7">
        <v>0</v>
      </c>
      <c r="BJ45" s="6"/>
      <c r="BK45" s="7">
        <v>0</v>
      </c>
      <c r="BL45" s="6"/>
      <c r="BM45" s="7">
        <v>5722.12</v>
      </c>
      <c r="BN45" s="6"/>
      <c r="BO45" s="7">
        <v>0</v>
      </c>
      <c r="BP45" s="6"/>
      <c r="BQ45" s="7">
        <f>ROUND(SUM(G45:BO45),5)</f>
        <v>107970.4</v>
      </c>
    </row>
    <row r="46" spans="1:69">
      <c r="A46" s="4"/>
      <c r="B46" s="4"/>
      <c r="C46" s="4"/>
      <c r="D46" s="4"/>
      <c r="E46" s="4"/>
      <c r="F46" s="4" t="s">
        <v>127</v>
      </c>
      <c r="G46" s="7">
        <v>21108.89</v>
      </c>
      <c r="H46" s="6"/>
      <c r="I46" s="7">
        <v>0</v>
      </c>
      <c r="J46" s="6"/>
      <c r="K46" s="7">
        <v>0</v>
      </c>
      <c r="L46" s="6"/>
      <c r="M46" s="7">
        <v>335.69</v>
      </c>
      <c r="N46" s="6"/>
      <c r="O46" s="7">
        <v>0</v>
      </c>
      <c r="P46" s="6"/>
      <c r="Q46" s="7">
        <v>0</v>
      </c>
      <c r="R46" s="6"/>
      <c r="S46" s="7">
        <v>0</v>
      </c>
      <c r="T46" s="6"/>
      <c r="U46" s="7">
        <v>0</v>
      </c>
      <c r="V46" s="6"/>
      <c r="W46" s="7">
        <v>0</v>
      </c>
      <c r="X46" s="6"/>
      <c r="Y46" s="7">
        <v>0</v>
      </c>
      <c r="Z46" s="6"/>
      <c r="AA46" s="7">
        <v>0</v>
      </c>
      <c r="AB46" s="6"/>
      <c r="AC46" s="7">
        <v>0</v>
      </c>
      <c r="AD46" s="6"/>
      <c r="AE46" s="7">
        <v>0</v>
      </c>
      <c r="AF46" s="6"/>
      <c r="AG46" s="7">
        <v>0</v>
      </c>
      <c r="AH46" s="6"/>
      <c r="AI46" s="7">
        <v>0</v>
      </c>
      <c r="AJ46" s="6"/>
      <c r="AK46" s="7">
        <v>0</v>
      </c>
      <c r="AL46" s="6"/>
      <c r="AM46" s="7">
        <v>0</v>
      </c>
      <c r="AN46" s="6"/>
      <c r="AO46" s="7">
        <v>0</v>
      </c>
      <c r="AP46" s="6"/>
      <c r="AQ46" s="7">
        <v>0</v>
      </c>
      <c r="AR46" s="6"/>
      <c r="AS46" s="7">
        <v>0</v>
      </c>
      <c r="AT46" s="6"/>
      <c r="AU46" s="7">
        <v>0</v>
      </c>
      <c r="AV46" s="6"/>
      <c r="AW46" s="7">
        <v>0</v>
      </c>
      <c r="AX46" s="6"/>
      <c r="AY46" s="7">
        <v>0</v>
      </c>
      <c r="AZ46" s="6"/>
      <c r="BA46" s="7">
        <v>0</v>
      </c>
      <c r="BB46" s="6"/>
      <c r="BC46" s="7">
        <v>0</v>
      </c>
      <c r="BD46" s="6"/>
      <c r="BE46" s="7">
        <v>0</v>
      </c>
      <c r="BF46" s="6"/>
      <c r="BG46" s="7">
        <v>0</v>
      </c>
      <c r="BH46" s="6"/>
      <c r="BI46" s="7">
        <v>0</v>
      </c>
      <c r="BJ46" s="6"/>
      <c r="BK46" s="7">
        <v>0</v>
      </c>
      <c r="BL46" s="6"/>
      <c r="BM46" s="7">
        <v>0</v>
      </c>
      <c r="BN46" s="6"/>
      <c r="BO46" s="7">
        <v>0</v>
      </c>
      <c r="BP46" s="6"/>
      <c r="BQ46" s="7">
        <f>ROUND(SUM(G46:BO46),5)</f>
        <v>21444.58</v>
      </c>
    </row>
    <row r="47" spans="1:69">
      <c r="A47" s="4"/>
      <c r="B47" s="4"/>
      <c r="C47" s="4"/>
      <c r="D47" s="4"/>
      <c r="E47" s="4"/>
      <c r="F47" s="4" t="s">
        <v>128</v>
      </c>
      <c r="G47" s="7">
        <v>2216.4499999999998</v>
      </c>
      <c r="H47" s="6"/>
      <c r="I47" s="7">
        <v>0</v>
      </c>
      <c r="J47" s="6"/>
      <c r="K47" s="7">
        <v>0</v>
      </c>
      <c r="L47" s="6"/>
      <c r="M47" s="7">
        <v>0</v>
      </c>
      <c r="N47" s="6"/>
      <c r="O47" s="7">
        <v>0</v>
      </c>
      <c r="P47" s="6"/>
      <c r="Q47" s="7">
        <v>0</v>
      </c>
      <c r="R47" s="6"/>
      <c r="S47" s="7">
        <v>0</v>
      </c>
      <c r="T47" s="6"/>
      <c r="U47" s="7">
        <v>0</v>
      </c>
      <c r="V47" s="6"/>
      <c r="W47" s="7">
        <v>0</v>
      </c>
      <c r="X47" s="6"/>
      <c r="Y47" s="7">
        <v>0</v>
      </c>
      <c r="Z47" s="6"/>
      <c r="AA47" s="7">
        <v>0</v>
      </c>
      <c r="AB47" s="6"/>
      <c r="AC47" s="7">
        <v>0</v>
      </c>
      <c r="AD47" s="6"/>
      <c r="AE47" s="7">
        <v>0</v>
      </c>
      <c r="AF47" s="6"/>
      <c r="AG47" s="7">
        <v>0</v>
      </c>
      <c r="AH47" s="6"/>
      <c r="AI47" s="7">
        <v>0</v>
      </c>
      <c r="AJ47" s="6"/>
      <c r="AK47" s="7">
        <v>0</v>
      </c>
      <c r="AL47" s="6"/>
      <c r="AM47" s="7">
        <v>0</v>
      </c>
      <c r="AN47" s="6"/>
      <c r="AO47" s="7">
        <v>0</v>
      </c>
      <c r="AP47" s="6"/>
      <c r="AQ47" s="7">
        <v>0</v>
      </c>
      <c r="AR47" s="6"/>
      <c r="AS47" s="7">
        <v>0</v>
      </c>
      <c r="AT47" s="6"/>
      <c r="AU47" s="7">
        <v>0</v>
      </c>
      <c r="AV47" s="6"/>
      <c r="AW47" s="7">
        <v>0</v>
      </c>
      <c r="AX47" s="6"/>
      <c r="AY47" s="7">
        <v>0</v>
      </c>
      <c r="AZ47" s="6"/>
      <c r="BA47" s="7">
        <v>0</v>
      </c>
      <c r="BB47" s="6"/>
      <c r="BC47" s="7">
        <v>0</v>
      </c>
      <c r="BD47" s="6"/>
      <c r="BE47" s="7">
        <v>0</v>
      </c>
      <c r="BF47" s="6"/>
      <c r="BG47" s="7">
        <v>0</v>
      </c>
      <c r="BH47" s="6"/>
      <c r="BI47" s="7">
        <v>0</v>
      </c>
      <c r="BJ47" s="6"/>
      <c r="BK47" s="7">
        <v>0</v>
      </c>
      <c r="BL47" s="6"/>
      <c r="BM47" s="7">
        <v>0</v>
      </c>
      <c r="BN47" s="6"/>
      <c r="BO47" s="7">
        <v>0</v>
      </c>
      <c r="BP47" s="6"/>
      <c r="BQ47" s="7">
        <f>ROUND(SUM(G47:BO47),5)</f>
        <v>2216.4499999999998</v>
      </c>
    </row>
    <row r="48" spans="1:69">
      <c r="A48" s="4"/>
      <c r="B48" s="4"/>
      <c r="C48" s="4"/>
      <c r="D48" s="4"/>
      <c r="E48" s="4"/>
      <c r="F48" s="4" t="s">
        <v>129</v>
      </c>
      <c r="G48" s="7">
        <v>1995.21</v>
      </c>
      <c r="H48" s="6"/>
      <c r="I48" s="7">
        <v>356.36</v>
      </c>
      <c r="J48" s="6"/>
      <c r="K48" s="7">
        <v>0</v>
      </c>
      <c r="L48" s="6"/>
      <c r="M48" s="7">
        <v>0</v>
      </c>
      <c r="N48" s="6"/>
      <c r="O48" s="7">
        <v>0</v>
      </c>
      <c r="P48" s="6"/>
      <c r="Q48" s="7">
        <v>0</v>
      </c>
      <c r="R48" s="6"/>
      <c r="S48" s="7">
        <v>0</v>
      </c>
      <c r="T48" s="6"/>
      <c r="U48" s="7">
        <v>300</v>
      </c>
      <c r="V48" s="6"/>
      <c r="W48" s="7">
        <v>0</v>
      </c>
      <c r="X48" s="6"/>
      <c r="Y48" s="7">
        <v>0</v>
      </c>
      <c r="Z48" s="6"/>
      <c r="AA48" s="7">
        <v>0</v>
      </c>
      <c r="AB48" s="6"/>
      <c r="AC48" s="7">
        <v>0</v>
      </c>
      <c r="AD48" s="6"/>
      <c r="AE48" s="7">
        <v>0</v>
      </c>
      <c r="AF48" s="6"/>
      <c r="AG48" s="7">
        <v>0</v>
      </c>
      <c r="AH48" s="6"/>
      <c r="AI48" s="7">
        <v>0</v>
      </c>
      <c r="AJ48" s="6"/>
      <c r="AK48" s="7">
        <v>0</v>
      </c>
      <c r="AL48" s="6"/>
      <c r="AM48" s="7">
        <v>0</v>
      </c>
      <c r="AN48" s="6"/>
      <c r="AO48" s="7">
        <v>0</v>
      </c>
      <c r="AP48" s="6"/>
      <c r="AQ48" s="7">
        <v>0</v>
      </c>
      <c r="AR48" s="6"/>
      <c r="AS48" s="7">
        <v>0</v>
      </c>
      <c r="AT48" s="6"/>
      <c r="AU48" s="7">
        <v>0</v>
      </c>
      <c r="AV48" s="6"/>
      <c r="AW48" s="7">
        <v>0</v>
      </c>
      <c r="AX48" s="6"/>
      <c r="AY48" s="7">
        <v>0</v>
      </c>
      <c r="AZ48" s="6"/>
      <c r="BA48" s="7">
        <v>0</v>
      </c>
      <c r="BB48" s="6"/>
      <c r="BC48" s="7">
        <v>0</v>
      </c>
      <c r="BD48" s="6"/>
      <c r="BE48" s="7">
        <v>0</v>
      </c>
      <c r="BF48" s="6"/>
      <c r="BG48" s="7">
        <v>0</v>
      </c>
      <c r="BH48" s="6"/>
      <c r="BI48" s="7">
        <v>0</v>
      </c>
      <c r="BJ48" s="6"/>
      <c r="BK48" s="7">
        <v>0</v>
      </c>
      <c r="BL48" s="6"/>
      <c r="BM48" s="7">
        <v>0</v>
      </c>
      <c r="BN48" s="6"/>
      <c r="BO48" s="7">
        <v>0</v>
      </c>
      <c r="BP48" s="6"/>
      <c r="BQ48" s="7">
        <f>ROUND(SUM(G48:BO48),5)</f>
        <v>2651.57</v>
      </c>
    </row>
    <row r="49" spans="1:69">
      <c r="A49" s="4"/>
      <c r="B49" s="4"/>
      <c r="C49" s="4"/>
      <c r="D49" s="4"/>
      <c r="E49" s="4"/>
      <c r="F49" s="4" t="s">
        <v>130</v>
      </c>
      <c r="G49" s="7">
        <v>34726.629999999997</v>
      </c>
      <c r="H49" s="6"/>
      <c r="I49" s="7">
        <v>0</v>
      </c>
      <c r="J49" s="6"/>
      <c r="K49" s="7">
        <v>0</v>
      </c>
      <c r="L49" s="6"/>
      <c r="M49" s="7">
        <v>2088.3000000000002</v>
      </c>
      <c r="N49" s="6"/>
      <c r="O49" s="7">
        <v>0</v>
      </c>
      <c r="P49" s="6"/>
      <c r="Q49" s="7">
        <v>0</v>
      </c>
      <c r="R49" s="6"/>
      <c r="S49" s="7">
        <v>2664.95</v>
      </c>
      <c r="T49" s="6"/>
      <c r="U49" s="7">
        <v>570.28</v>
      </c>
      <c r="V49" s="6"/>
      <c r="W49" s="7">
        <v>0</v>
      </c>
      <c r="X49" s="6"/>
      <c r="Y49" s="7">
        <v>0</v>
      </c>
      <c r="Z49" s="6"/>
      <c r="AA49" s="7">
        <v>0</v>
      </c>
      <c r="AB49" s="6"/>
      <c r="AC49" s="7">
        <v>0</v>
      </c>
      <c r="AD49" s="6"/>
      <c r="AE49" s="7">
        <v>0</v>
      </c>
      <c r="AF49" s="6"/>
      <c r="AG49" s="7">
        <v>0</v>
      </c>
      <c r="AH49" s="6"/>
      <c r="AI49" s="7">
        <v>0</v>
      </c>
      <c r="AJ49" s="6"/>
      <c r="AK49" s="7">
        <v>0</v>
      </c>
      <c r="AL49" s="6"/>
      <c r="AM49" s="7">
        <v>0</v>
      </c>
      <c r="AN49" s="6"/>
      <c r="AO49" s="7">
        <v>0</v>
      </c>
      <c r="AP49" s="6"/>
      <c r="AQ49" s="7">
        <v>0</v>
      </c>
      <c r="AR49" s="6"/>
      <c r="AS49" s="7">
        <v>0</v>
      </c>
      <c r="AT49" s="6"/>
      <c r="AU49" s="7">
        <v>0</v>
      </c>
      <c r="AV49" s="6"/>
      <c r="AW49" s="7">
        <v>0</v>
      </c>
      <c r="AX49" s="6"/>
      <c r="AY49" s="7">
        <v>0</v>
      </c>
      <c r="AZ49" s="6"/>
      <c r="BA49" s="7">
        <v>0</v>
      </c>
      <c r="BB49" s="6"/>
      <c r="BC49" s="7">
        <v>0</v>
      </c>
      <c r="BD49" s="6"/>
      <c r="BE49" s="7">
        <v>0</v>
      </c>
      <c r="BF49" s="6"/>
      <c r="BG49" s="7">
        <v>0</v>
      </c>
      <c r="BH49" s="6"/>
      <c r="BI49" s="7">
        <v>0</v>
      </c>
      <c r="BJ49" s="6"/>
      <c r="BK49" s="7">
        <v>0</v>
      </c>
      <c r="BL49" s="6"/>
      <c r="BM49" s="7">
        <v>0</v>
      </c>
      <c r="BN49" s="6"/>
      <c r="BO49" s="7">
        <v>0</v>
      </c>
      <c r="BP49" s="6"/>
      <c r="BQ49" s="7">
        <f>ROUND(SUM(G49:BO49),5)</f>
        <v>40050.160000000003</v>
      </c>
    </row>
    <row r="50" spans="1:69">
      <c r="A50" s="4"/>
      <c r="B50" s="4"/>
      <c r="C50" s="4"/>
      <c r="D50" s="4"/>
      <c r="E50" s="4"/>
      <c r="F50" s="4" t="s">
        <v>131</v>
      </c>
      <c r="G50" s="7">
        <v>5998.97</v>
      </c>
      <c r="H50" s="6"/>
      <c r="I50" s="7">
        <v>0</v>
      </c>
      <c r="J50" s="6"/>
      <c r="K50" s="7">
        <v>0</v>
      </c>
      <c r="L50" s="6"/>
      <c r="M50" s="7">
        <v>0</v>
      </c>
      <c r="N50" s="6"/>
      <c r="O50" s="7">
        <v>0</v>
      </c>
      <c r="P50" s="6"/>
      <c r="Q50" s="7">
        <v>0</v>
      </c>
      <c r="R50" s="6"/>
      <c r="S50" s="7">
        <v>0</v>
      </c>
      <c r="T50" s="6"/>
      <c r="U50" s="7">
        <v>1116.71</v>
      </c>
      <c r="V50" s="6"/>
      <c r="W50" s="7">
        <v>0</v>
      </c>
      <c r="X50" s="6"/>
      <c r="Y50" s="7">
        <v>0</v>
      </c>
      <c r="Z50" s="6"/>
      <c r="AA50" s="7">
        <v>0</v>
      </c>
      <c r="AB50" s="6"/>
      <c r="AC50" s="7">
        <v>0</v>
      </c>
      <c r="AD50" s="6"/>
      <c r="AE50" s="7">
        <v>0</v>
      </c>
      <c r="AF50" s="6"/>
      <c r="AG50" s="7">
        <v>0</v>
      </c>
      <c r="AH50" s="6"/>
      <c r="AI50" s="7">
        <v>0</v>
      </c>
      <c r="AJ50" s="6"/>
      <c r="AK50" s="7">
        <v>0</v>
      </c>
      <c r="AL50" s="6"/>
      <c r="AM50" s="7">
        <v>0</v>
      </c>
      <c r="AN50" s="6"/>
      <c r="AO50" s="7">
        <v>0</v>
      </c>
      <c r="AP50" s="6"/>
      <c r="AQ50" s="7">
        <v>0</v>
      </c>
      <c r="AR50" s="6"/>
      <c r="AS50" s="7">
        <v>0</v>
      </c>
      <c r="AT50" s="6"/>
      <c r="AU50" s="7">
        <v>0</v>
      </c>
      <c r="AV50" s="6"/>
      <c r="AW50" s="7">
        <v>0</v>
      </c>
      <c r="AX50" s="6"/>
      <c r="AY50" s="7">
        <v>0</v>
      </c>
      <c r="AZ50" s="6"/>
      <c r="BA50" s="7">
        <v>0</v>
      </c>
      <c r="BB50" s="6"/>
      <c r="BC50" s="7">
        <v>0</v>
      </c>
      <c r="BD50" s="6"/>
      <c r="BE50" s="7">
        <v>0</v>
      </c>
      <c r="BF50" s="6"/>
      <c r="BG50" s="7">
        <v>0</v>
      </c>
      <c r="BH50" s="6"/>
      <c r="BI50" s="7">
        <v>0</v>
      </c>
      <c r="BJ50" s="6"/>
      <c r="BK50" s="7">
        <v>0</v>
      </c>
      <c r="BL50" s="6"/>
      <c r="BM50" s="7">
        <v>0</v>
      </c>
      <c r="BN50" s="6"/>
      <c r="BO50" s="7">
        <v>0</v>
      </c>
      <c r="BP50" s="6"/>
      <c r="BQ50" s="7">
        <f>ROUND(SUM(G50:BO50),5)</f>
        <v>7115.68</v>
      </c>
    </row>
    <row r="51" spans="1:69">
      <c r="A51" s="4"/>
      <c r="B51" s="4"/>
      <c r="C51" s="4"/>
      <c r="D51" s="4"/>
      <c r="E51" s="4"/>
      <c r="F51" s="4" t="s">
        <v>132</v>
      </c>
      <c r="G51" s="7">
        <v>865.95</v>
      </c>
      <c r="H51" s="6"/>
      <c r="I51" s="7">
        <v>0</v>
      </c>
      <c r="J51" s="6"/>
      <c r="K51" s="7">
        <v>0</v>
      </c>
      <c r="L51" s="6"/>
      <c r="M51" s="7">
        <v>0</v>
      </c>
      <c r="N51" s="6"/>
      <c r="O51" s="7">
        <v>0</v>
      </c>
      <c r="P51" s="6"/>
      <c r="Q51" s="7">
        <v>0</v>
      </c>
      <c r="R51" s="6"/>
      <c r="S51" s="7">
        <v>0</v>
      </c>
      <c r="T51" s="6"/>
      <c r="U51" s="7">
        <v>0</v>
      </c>
      <c r="V51" s="6"/>
      <c r="W51" s="7">
        <v>0</v>
      </c>
      <c r="X51" s="6"/>
      <c r="Y51" s="7">
        <v>0</v>
      </c>
      <c r="Z51" s="6"/>
      <c r="AA51" s="7">
        <v>0</v>
      </c>
      <c r="AB51" s="6"/>
      <c r="AC51" s="7">
        <v>0</v>
      </c>
      <c r="AD51" s="6"/>
      <c r="AE51" s="7">
        <v>0</v>
      </c>
      <c r="AF51" s="6"/>
      <c r="AG51" s="7">
        <v>0</v>
      </c>
      <c r="AH51" s="6"/>
      <c r="AI51" s="7">
        <v>0</v>
      </c>
      <c r="AJ51" s="6"/>
      <c r="AK51" s="7">
        <v>0</v>
      </c>
      <c r="AL51" s="6"/>
      <c r="AM51" s="7">
        <v>0</v>
      </c>
      <c r="AN51" s="6"/>
      <c r="AO51" s="7">
        <v>0</v>
      </c>
      <c r="AP51" s="6"/>
      <c r="AQ51" s="7">
        <v>0</v>
      </c>
      <c r="AR51" s="6"/>
      <c r="AS51" s="7">
        <v>0</v>
      </c>
      <c r="AT51" s="6"/>
      <c r="AU51" s="7">
        <v>0</v>
      </c>
      <c r="AV51" s="6"/>
      <c r="AW51" s="7">
        <v>0</v>
      </c>
      <c r="AX51" s="6"/>
      <c r="AY51" s="7">
        <v>0</v>
      </c>
      <c r="AZ51" s="6"/>
      <c r="BA51" s="7">
        <v>0</v>
      </c>
      <c r="BB51" s="6"/>
      <c r="BC51" s="7">
        <v>0</v>
      </c>
      <c r="BD51" s="6"/>
      <c r="BE51" s="7">
        <v>0</v>
      </c>
      <c r="BF51" s="6"/>
      <c r="BG51" s="7">
        <v>0</v>
      </c>
      <c r="BH51" s="6"/>
      <c r="BI51" s="7">
        <v>0</v>
      </c>
      <c r="BJ51" s="6"/>
      <c r="BK51" s="7">
        <v>0</v>
      </c>
      <c r="BL51" s="6"/>
      <c r="BM51" s="7">
        <v>0</v>
      </c>
      <c r="BN51" s="6"/>
      <c r="BO51" s="7">
        <v>0</v>
      </c>
      <c r="BP51" s="6"/>
      <c r="BQ51" s="7">
        <f>ROUND(SUM(G51:BO51),5)</f>
        <v>865.95</v>
      </c>
    </row>
    <row r="52" spans="1:69">
      <c r="A52" s="4"/>
      <c r="B52" s="4"/>
      <c r="C52" s="4"/>
      <c r="D52" s="4"/>
      <c r="E52" s="4"/>
      <c r="F52" s="4" t="s">
        <v>133</v>
      </c>
      <c r="G52" s="7">
        <v>0</v>
      </c>
      <c r="H52" s="6"/>
      <c r="I52" s="7">
        <v>0</v>
      </c>
      <c r="J52" s="6"/>
      <c r="K52" s="7">
        <v>0</v>
      </c>
      <c r="L52" s="6"/>
      <c r="M52" s="7">
        <v>0</v>
      </c>
      <c r="N52" s="6"/>
      <c r="O52" s="7">
        <v>0</v>
      </c>
      <c r="P52" s="6"/>
      <c r="Q52" s="7">
        <v>0</v>
      </c>
      <c r="R52" s="6"/>
      <c r="S52" s="7">
        <v>0</v>
      </c>
      <c r="T52" s="6"/>
      <c r="U52" s="7">
        <v>0</v>
      </c>
      <c r="V52" s="6"/>
      <c r="W52" s="7">
        <v>57544.44</v>
      </c>
      <c r="X52" s="6"/>
      <c r="Y52" s="7">
        <v>0</v>
      </c>
      <c r="Z52" s="6"/>
      <c r="AA52" s="7">
        <v>0</v>
      </c>
      <c r="AB52" s="6"/>
      <c r="AC52" s="7">
        <v>0</v>
      </c>
      <c r="AD52" s="6"/>
      <c r="AE52" s="7">
        <v>0</v>
      </c>
      <c r="AF52" s="6"/>
      <c r="AG52" s="7">
        <v>0</v>
      </c>
      <c r="AH52" s="6"/>
      <c r="AI52" s="7">
        <v>0</v>
      </c>
      <c r="AJ52" s="6"/>
      <c r="AK52" s="7">
        <v>0</v>
      </c>
      <c r="AL52" s="6"/>
      <c r="AM52" s="7">
        <v>0</v>
      </c>
      <c r="AN52" s="6"/>
      <c r="AO52" s="7">
        <v>0</v>
      </c>
      <c r="AP52" s="6"/>
      <c r="AQ52" s="7">
        <v>0</v>
      </c>
      <c r="AR52" s="6"/>
      <c r="AS52" s="7">
        <v>0</v>
      </c>
      <c r="AT52" s="6"/>
      <c r="AU52" s="7">
        <v>0</v>
      </c>
      <c r="AV52" s="6"/>
      <c r="AW52" s="7">
        <v>0</v>
      </c>
      <c r="AX52" s="6"/>
      <c r="AY52" s="7">
        <v>0</v>
      </c>
      <c r="AZ52" s="6"/>
      <c r="BA52" s="7">
        <v>0</v>
      </c>
      <c r="BB52" s="6"/>
      <c r="BC52" s="7">
        <v>0</v>
      </c>
      <c r="BD52" s="6"/>
      <c r="BE52" s="7">
        <v>0</v>
      </c>
      <c r="BF52" s="6"/>
      <c r="BG52" s="7">
        <v>0</v>
      </c>
      <c r="BH52" s="6"/>
      <c r="BI52" s="7">
        <v>0</v>
      </c>
      <c r="BJ52" s="6"/>
      <c r="BK52" s="7">
        <v>0</v>
      </c>
      <c r="BL52" s="6"/>
      <c r="BM52" s="7">
        <v>0</v>
      </c>
      <c r="BN52" s="6"/>
      <c r="BO52" s="7">
        <v>0</v>
      </c>
      <c r="BP52" s="6"/>
      <c r="BQ52" s="7">
        <f>ROUND(SUM(G52:BO52),5)</f>
        <v>57544.44</v>
      </c>
    </row>
    <row r="53" spans="1:69">
      <c r="A53" s="4"/>
      <c r="B53" s="4"/>
      <c r="C53" s="4"/>
      <c r="D53" s="4"/>
      <c r="E53" s="4"/>
      <c r="F53" s="4" t="s">
        <v>134</v>
      </c>
      <c r="G53" s="7">
        <v>18.29</v>
      </c>
      <c r="H53" s="6"/>
      <c r="I53" s="7">
        <v>0</v>
      </c>
      <c r="J53" s="6"/>
      <c r="K53" s="7">
        <v>0</v>
      </c>
      <c r="L53" s="6"/>
      <c r="M53" s="7">
        <v>0</v>
      </c>
      <c r="N53" s="6"/>
      <c r="O53" s="7">
        <v>380.24</v>
      </c>
      <c r="P53" s="6"/>
      <c r="Q53" s="7">
        <v>0</v>
      </c>
      <c r="R53" s="6"/>
      <c r="S53" s="7">
        <v>0</v>
      </c>
      <c r="T53" s="6"/>
      <c r="U53" s="7">
        <v>0</v>
      </c>
      <c r="V53" s="6"/>
      <c r="W53" s="7">
        <v>0</v>
      </c>
      <c r="X53" s="6"/>
      <c r="Y53" s="7">
        <v>0</v>
      </c>
      <c r="Z53" s="6"/>
      <c r="AA53" s="7">
        <v>0</v>
      </c>
      <c r="AB53" s="6"/>
      <c r="AC53" s="7">
        <v>0</v>
      </c>
      <c r="AD53" s="6"/>
      <c r="AE53" s="7">
        <v>0</v>
      </c>
      <c r="AF53" s="6"/>
      <c r="AG53" s="7">
        <v>0</v>
      </c>
      <c r="AH53" s="6"/>
      <c r="AI53" s="7">
        <v>0</v>
      </c>
      <c r="AJ53" s="6"/>
      <c r="AK53" s="7">
        <v>0</v>
      </c>
      <c r="AL53" s="6"/>
      <c r="AM53" s="7">
        <v>0</v>
      </c>
      <c r="AN53" s="6"/>
      <c r="AO53" s="7">
        <v>0</v>
      </c>
      <c r="AP53" s="6"/>
      <c r="AQ53" s="7">
        <v>0</v>
      </c>
      <c r="AR53" s="6"/>
      <c r="AS53" s="7">
        <v>0</v>
      </c>
      <c r="AT53" s="6"/>
      <c r="AU53" s="7">
        <v>0</v>
      </c>
      <c r="AV53" s="6"/>
      <c r="AW53" s="7">
        <v>0</v>
      </c>
      <c r="AX53" s="6"/>
      <c r="AY53" s="7">
        <v>0</v>
      </c>
      <c r="AZ53" s="6"/>
      <c r="BA53" s="7">
        <v>0</v>
      </c>
      <c r="BB53" s="6"/>
      <c r="BC53" s="7">
        <v>0</v>
      </c>
      <c r="BD53" s="6"/>
      <c r="BE53" s="7">
        <v>0</v>
      </c>
      <c r="BF53" s="6"/>
      <c r="BG53" s="7">
        <v>0</v>
      </c>
      <c r="BH53" s="6"/>
      <c r="BI53" s="7">
        <v>0</v>
      </c>
      <c r="BJ53" s="6"/>
      <c r="BK53" s="7">
        <v>0</v>
      </c>
      <c r="BL53" s="6"/>
      <c r="BM53" s="7">
        <v>0</v>
      </c>
      <c r="BN53" s="6"/>
      <c r="BO53" s="7">
        <v>0</v>
      </c>
      <c r="BP53" s="6"/>
      <c r="BQ53" s="7">
        <f>ROUND(SUM(G53:BO53),5)</f>
        <v>398.53</v>
      </c>
    </row>
    <row r="54" spans="1:69">
      <c r="A54" s="4"/>
      <c r="B54" s="4"/>
      <c r="C54" s="4"/>
      <c r="D54" s="4"/>
      <c r="E54" s="4"/>
      <c r="F54" s="4" t="s">
        <v>135</v>
      </c>
      <c r="G54" s="7">
        <v>54843.77</v>
      </c>
      <c r="H54" s="6"/>
      <c r="I54" s="7">
        <v>0</v>
      </c>
      <c r="J54" s="6"/>
      <c r="K54" s="7">
        <v>0</v>
      </c>
      <c r="L54" s="6"/>
      <c r="M54" s="7">
        <v>18382.150000000001</v>
      </c>
      <c r="N54" s="6"/>
      <c r="O54" s="7">
        <v>0</v>
      </c>
      <c r="P54" s="6"/>
      <c r="Q54" s="7">
        <v>0</v>
      </c>
      <c r="R54" s="6"/>
      <c r="S54" s="7">
        <v>0</v>
      </c>
      <c r="T54" s="6"/>
      <c r="U54" s="7">
        <v>16564.5</v>
      </c>
      <c r="V54" s="6"/>
      <c r="W54" s="7">
        <v>0</v>
      </c>
      <c r="X54" s="6"/>
      <c r="Y54" s="7">
        <v>0</v>
      </c>
      <c r="Z54" s="6"/>
      <c r="AA54" s="7">
        <v>18580.759999999998</v>
      </c>
      <c r="AB54" s="6"/>
      <c r="AC54" s="7">
        <v>0</v>
      </c>
      <c r="AD54" s="6"/>
      <c r="AE54" s="7">
        <v>0</v>
      </c>
      <c r="AF54" s="6"/>
      <c r="AG54" s="7">
        <v>0</v>
      </c>
      <c r="AH54" s="6"/>
      <c r="AI54" s="7">
        <v>0</v>
      </c>
      <c r="AJ54" s="6"/>
      <c r="AK54" s="7">
        <v>0</v>
      </c>
      <c r="AL54" s="6"/>
      <c r="AM54" s="7">
        <v>0</v>
      </c>
      <c r="AN54" s="6"/>
      <c r="AO54" s="7">
        <v>0</v>
      </c>
      <c r="AP54" s="6"/>
      <c r="AQ54" s="7">
        <v>0</v>
      </c>
      <c r="AR54" s="6"/>
      <c r="AS54" s="7">
        <v>0</v>
      </c>
      <c r="AT54" s="6"/>
      <c r="AU54" s="7">
        <v>0</v>
      </c>
      <c r="AV54" s="6"/>
      <c r="AW54" s="7">
        <v>0</v>
      </c>
      <c r="AX54" s="6"/>
      <c r="AY54" s="7">
        <v>0</v>
      </c>
      <c r="AZ54" s="6"/>
      <c r="BA54" s="7">
        <v>0</v>
      </c>
      <c r="BB54" s="6"/>
      <c r="BC54" s="7">
        <v>398.84</v>
      </c>
      <c r="BD54" s="6"/>
      <c r="BE54" s="7">
        <v>900</v>
      </c>
      <c r="BF54" s="6"/>
      <c r="BG54" s="7">
        <v>0</v>
      </c>
      <c r="BH54" s="6"/>
      <c r="BI54" s="7">
        <v>3780</v>
      </c>
      <c r="BJ54" s="6"/>
      <c r="BK54" s="7">
        <v>0</v>
      </c>
      <c r="BL54" s="6"/>
      <c r="BM54" s="7">
        <v>0</v>
      </c>
      <c r="BN54" s="6"/>
      <c r="BO54" s="7">
        <v>0</v>
      </c>
      <c r="BP54" s="6"/>
      <c r="BQ54" s="7">
        <f>ROUND(SUM(G54:BO54),5)</f>
        <v>113450.02</v>
      </c>
    </row>
    <row r="55" spans="1:69">
      <c r="A55" s="4"/>
      <c r="B55" s="4"/>
      <c r="C55" s="4"/>
      <c r="D55" s="4"/>
      <c r="E55" s="4"/>
      <c r="F55" s="4" t="s">
        <v>136</v>
      </c>
      <c r="G55" s="7">
        <v>0</v>
      </c>
      <c r="H55" s="6"/>
      <c r="I55" s="7">
        <v>0</v>
      </c>
      <c r="J55" s="6"/>
      <c r="K55" s="7">
        <v>0</v>
      </c>
      <c r="L55" s="6"/>
      <c r="M55" s="7">
        <v>0</v>
      </c>
      <c r="N55" s="6"/>
      <c r="O55" s="7">
        <v>0</v>
      </c>
      <c r="P55" s="6"/>
      <c r="Q55" s="7">
        <v>0</v>
      </c>
      <c r="R55" s="6"/>
      <c r="S55" s="7">
        <v>0</v>
      </c>
      <c r="T55" s="6"/>
      <c r="U55" s="7">
        <v>3800</v>
      </c>
      <c r="V55" s="6"/>
      <c r="W55" s="7">
        <v>0</v>
      </c>
      <c r="X55" s="6"/>
      <c r="Y55" s="7">
        <v>0</v>
      </c>
      <c r="Z55" s="6"/>
      <c r="AA55" s="7">
        <v>0</v>
      </c>
      <c r="AB55" s="6"/>
      <c r="AC55" s="7">
        <v>0</v>
      </c>
      <c r="AD55" s="6"/>
      <c r="AE55" s="7">
        <v>0</v>
      </c>
      <c r="AF55" s="6"/>
      <c r="AG55" s="7">
        <v>0</v>
      </c>
      <c r="AH55" s="6"/>
      <c r="AI55" s="7">
        <v>0</v>
      </c>
      <c r="AJ55" s="6"/>
      <c r="AK55" s="7">
        <v>0</v>
      </c>
      <c r="AL55" s="6"/>
      <c r="AM55" s="7">
        <v>0</v>
      </c>
      <c r="AN55" s="6"/>
      <c r="AO55" s="7">
        <v>0</v>
      </c>
      <c r="AP55" s="6"/>
      <c r="AQ55" s="7">
        <v>0</v>
      </c>
      <c r="AR55" s="6"/>
      <c r="AS55" s="7">
        <v>0</v>
      </c>
      <c r="AT55" s="6"/>
      <c r="AU55" s="7">
        <v>0</v>
      </c>
      <c r="AV55" s="6"/>
      <c r="AW55" s="7">
        <v>0</v>
      </c>
      <c r="AX55" s="6"/>
      <c r="AY55" s="7">
        <v>0</v>
      </c>
      <c r="AZ55" s="6"/>
      <c r="BA55" s="7">
        <v>0</v>
      </c>
      <c r="BB55" s="6"/>
      <c r="BC55" s="7">
        <v>0</v>
      </c>
      <c r="BD55" s="6"/>
      <c r="BE55" s="7">
        <v>0</v>
      </c>
      <c r="BF55" s="6"/>
      <c r="BG55" s="7">
        <v>0</v>
      </c>
      <c r="BH55" s="6"/>
      <c r="BI55" s="7">
        <v>0</v>
      </c>
      <c r="BJ55" s="6"/>
      <c r="BK55" s="7">
        <v>0</v>
      </c>
      <c r="BL55" s="6"/>
      <c r="BM55" s="7">
        <v>0</v>
      </c>
      <c r="BN55" s="6"/>
      <c r="BO55" s="7">
        <v>0</v>
      </c>
      <c r="BP55" s="6"/>
      <c r="BQ55" s="7">
        <f>ROUND(SUM(G55:BO55),5)</f>
        <v>3800</v>
      </c>
    </row>
    <row r="56" spans="1:69">
      <c r="A56" s="4"/>
      <c r="B56" s="4"/>
      <c r="C56" s="4"/>
      <c r="D56" s="4"/>
      <c r="E56" s="4"/>
      <c r="F56" s="4" t="s">
        <v>137</v>
      </c>
      <c r="G56" s="7">
        <v>0</v>
      </c>
      <c r="H56" s="6"/>
      <c r="I56" s="7">
        <v>0</v>
      </c>
      <c r="J56" s="6"/>
      <c r="K56" s="7">
        <v>0</v>
      </c>
      <c r="L56" s="6"/>
      <c r="M56" s="7">
        <v>0</v>
      </c>
      <c r="N56" s="6"/>
      <c r="O56" s="7">
        <v>0</v>
      </c>
      <c r="P56" s="6"/>
      <c r="Q56" s="7">
        <v>0</v>
      </c>
      <c r="R56" s="6"/>
      <c r="S56" s="7">
        <v>0</v>
      </c>
      <c r="T56" s="6"/>
      <c r="U56" s="7">
        <v>0</v>
      </c>
      <c r="V56" s="6"/>
      <c r="W56" s="7">
        <v>0</v>
      </c>
      <c r="X56" s="6"/>
      <c r="Y56" s="7">
        <v>0</v>
      </c>
      <c r="Z56" s="6"/>
      <c r="AA56" s="7">
        <v>21739.3</v>
      </c>
      <c r="AB56" s="6"/>
      <c r="AC56" s="7">
        <v>0</v>
      </c>
      <c r="AD56" s="6"/>
      <c r="AE56" s="7">
        <v>0</v>
      </c>
      <c r="AF56" s="6"/>
      <c r="AG56" s="7">
        <v>0</v>
      </c>
      <c r="AH56" s="6"/>
      <c r="AI56" s="7">
        <v>0</v>
      </c>
      <c r="AJ56" s="6"/>
      <c r="AK56" s="7">
        <v>0</v>
      </c>
      <c r="AL56" s="6"/>
      <c r="AM56" s="7">
        <v>0</v>
      </c>
      <c r="AN56" s="6"/>
      <c r="AO56" s="7">
        <v>0</v>
      </c>
      <c r="AP56" s="6"/>
      <c r="AQ56" s="7">
        <v>0</v>
      </c>
      <c r="AR56" s="6"/>
      <c r="AS56" s="7">
        <v>0</v>
      </c>
      <c r="AT56" s="6"/>
      <c r="AU56" s="7">
        <v>0</v>
      </c>
      <c r="AV56" s="6"/>
      <c r="AW56" s="7">
        <v>0</v>
      </c>
      <c r="AX56" s="6"/>
      <c r="AY56" s="7">
        <v>0</v>
      </c>
      <c r="AZ56" s="6"/>
      <c r="BA56" s="7">
        <v>0</v>
      </c>
      <c r="BB56" s="6"/>
      <c r="BC56" s="7">
        <v>0</v>
      </c>
      <c r="BD56" s="6"/>
      <c r="BE56" s="7">
        <v>0</v>
      </c>
      <c r="BF56" s="6"/>
      <c r="BG56" s="7">
        <v>0</v>
      </c>
      <c r="BH56" s="6"/>
      <c r="BI56" s="7">
        <v>0</v>
      </c>
      <c r="BJ56" s="6"/>
      <c r="BK56" s="7">
        <v>0</v>
      </c>
      <c r="BL56" s="6"/>
      <c r="BM56" s="7">
        <v>0</v>
      </c>
      <c r="BN56" s="6"/>
      <c r="BO56" s="7">
        <v>0</v>
      </c>
      <c r="BP56" s="6"/>
      <c r="BQ56" s="7">
        <f>ROUND(SUM(G56:BO56),5)</f>
        <v>21739.3</v>
      </c>
    </row>
    <row r="57" spans="1:69">
      <c r="A57" s="4"/>
      <c r="B57" s="4"/>
      <c r="C57" s="4"/>
      <c r="D57" s="4"/>
      <c r="E57" s="4"/>
      <c r="F57" s="4" t="s">
        <v>138</v>
      </c>
      <c r="G57" s="7">
        <v>0</v>
      </c>
      <c r="H57" s="6"/>
      <c r="I57" s="7">
        <v>0</v>
      </c>
      <c r="J57" s="6"/>
      <c r="K57" s="7">
        <v>0</v>
      </c>
      <c r="L57" s="6"/>
      <c r="M57" s="7">
        <v>9479.5</v>
      </c>
      <c r="N57" s="6"/>
      <c r="O57" s="7">
        <v>0</v>
      </c>
      <c r="P57" s="6"/>
      <c r="Q57" s="7">
        <v>0</v>
      </c>
      <c r="R57" s="6"/>
      <c r="S57" s="7">
        <v>0</v>
      </c>
      <c r="T57" s="6"/>
      <c r="U57" s="7">
        <v>0</v>
      </c>
      <c r="V57" s="6"/>
      <c r="W57" s="7">
        <v>0</v>
      </c>
      <c r="X57" s="6"/>
      <c r="Y57" s="7">
        <v>0</v>
      </c>
      <c r="Z57" s="6"/>
      <c r="AA57" s="7">
        <v>0</v>
      </c>
      <c r="AB57" s="6"/>
      <c r="AC57" s="7">
        <v>0</v>
      </c>
      <c r="AD57" s="6"/>
      <c r="AE57" s="7">
        <v>0</v>
      </c>
      <c r="AF57" s="6"/>
      <c r="AG57" s="7">
        <v>0</v>
      </c>
      <c r="AH57" s="6"/>
      <c r="AI57" s="7">
        <v>0</v>
      </c>
      <c r="AJ57" s="6"/>
      <c r="AK57" s="7">
        <v>0</v>
      </c>
      <c r="AL57" s="6"/>
      <c r="AM57" s="7">
        <v>0</v>
      </c>
      <c r="AN57" s="6"/>
      <c r="AO57" s="7">
        <v>0</v>
      </c>
      <c r="AP57" s="6"/>
      <c r="AQ57" s="7">
        <v>0</v>
      </c>
      <c r="AR57" s="6"/>
      <c r="AS57" s="7">
        <v>0</v>
      </c>
      <c r="AT57" s="6"/>
      <c r="AU57" s="7">
        <v>0</v>
      </c>
      <c r="AV57" s="6"/>
      <c r="AW57" s="7">
        <v>0</v>
      </c>
      <c r="AX57" s="6"/>
      <c r="AY57" s="7">
        <v>0</v>
      </c>
      <c r="AZ57" s="6"/>
      <c r="BA57" s="7">
        <v>0</v>
      </c>
      <c r="BB57" s="6"/>
      <c r="BC57" s="7">
        <v>0</v>
      </c>
      <c r="BD57" s="6"/>
      <c r="BE57" s="7">
        <v>0</v>
      </c>
      <c r="BF57" s="6"/>
      <c r="BG57" s="7">
        <v>0</v>
      </c>
      <c r="BH57" s="6"/>
      <c r="BI57" s="7">
        <v>0</v>
      </c>
      <c r="BJ57" s="6"/>
      <c r="BK57" s="7">
        <v>0</v>
      </c>
      <c r="BL57" s="6"/>
      <c r="BM57" s="7">
        <v>0</v>
      </c>
      <c r="BN57" s="6"/>
      <c r="BO57" s="7">
        <v>0</v>
      </c>
      <c r="BP57" s="6"/>
      <c r="BQ57" s="7">
        <f>ROUND(SUM(G57:BO57),5)</f>
        <v>9479.5</v>
      </c>
    </row>
    <row r="58" spans="1:69">
      <c r="A58" s="4"/>
      <c r="B58" s="4"/>
      <c r="C58" s="4"/>
      <c r="D58" s="4"/>
      <c r="E58" s="4"/>
      <c r="F58" s="4" t="s">
        <v>139</v>
      </c>
      <c r="G58" s="7">
        <v>128.49</v>
      </c>
      <c r="H58" s="6"/>
      <c r="I58" s="7">
        <v>0</v>
      </c>
      <c r="J58" s="6"/>
      <c r="K58" s="7">
        <v>0</v>
      </c>
      <c r="L58" s="6"/>
      <c r="M58" s="7">
        <v>0</v>
      </c>
      <c r="N58" s="6"/>
      <c r="O58" s="7">
        <v>0</v>
      </c>
      <c r="P58" s="6"/>
      <c r="Q58" s="7">
        <v>0</v>
      </c>
      <c r="R58" s="6"/>
      <c r="S58" s="7">
        <v>0</v>
      </c>
      <c r="T58" s="6"/>
      <c r="U58" s="7">
        <v>0</v>
      </c>
      <c r="V58" s="6"/>
      <c r="W58" s="7">
        <v>0</v>
      </c>
      <c r="X58" s="6"/>
      <c r="Y58" s="7">
        <v>0</v>
      </c>
      <c r="Z58" s="6"/>
      <c r="AA58" s="7">
        <v>0</v>
      </c>
      <c r="AB58" s="6"/>
      <c r="AC58" s="7">
        <v>0</v>
      </c>
      <c r="AD58" s="6"/>
      <c r="AE58" s="7">
        <v>0</v>
      </c>
      <c r="AF58" s="6"/>
      <c r="AG58" s="7">
        <v>0</v>
      </c>
      <c r="AH58" s="6"/>
      <c r="AI58" s="7">
        <v>0</v>
      </c>
      <c r="AJ58" s="6"/>
      <c r="AK58" s="7">
        <v>0</v>
      </c>
      <c r="AL58" s="6"/>
      <c r="AM58" s="7">
        <v>0</v>
      </c>
      <c r="AN58" s="6"/>
      <c r="AO58" s="7">
        <v>0</v>
      </c>
      <c r="AP58" s="6"/>
      <c r="AQ58" s="7">
        <v>0</v>
      </c>
      <c r="AR58" s="6"/>
      <c r="AS58" s="7">
        <v>0</v>
      </c>
      <c r="AT58" s="6"/>
      <c r="AU58" s="7">
        <v>0</v>
      </c>
      <c r="AV58" s="6"/>
      <c r="AW58" s="7">
        <v>0</v>
      </c>
      <c r="AX58" s="6"/>
      <c r="AY58" s="7">
        <v>0</v>
      </c>
      <c r="AZ58" s="6"/>
      <c r="BA58" s="7">
        <v>0</v>
      </c>
      <c r="BB58" s="6"/>
      <c r="BC58" s="7">
        <v>0</v>
      </c>
      <c r="BD58" s="6"/>
      <c r="BE58" s="7">
        <v>0</v>
      </c>
      <c r="BF58" s="6"/>
      <c r="BG58" s="7">
        <v>0</v>
      </c>
      <c r="BH58" s="6"/>
      <c r="BI58" s="7">
        <v>0</v>
      </c>
      <c r="BJ58" s="6"/>
      <c r="BK58" s="7">
        <v>0</v>
      </c>
      <c r="BL58" s="6"/>
      <c r="BM58" s="7">
        <v>0</v>
      </c>
      <c r="BN58" s="6"/>
      <c r="BO58" s="7">
        <v>0</v>
      </c>
      <c r="BP58" s="6"/>
      <c r="BQ58" s="7">
        <f>ROUND(SUM(G58:BO58),5)</f>
        <v>128.49</v>
      </c>
    </row>
    <row r="59" spans="1:69">
      <c r="A59" s="4"/>
      <c r="B59" s="4"/>
      <c r="C59" s="4"/>
      <c r="D59" s="4"/>
      <c r="E59" s="4"/>
      <c r="F59" s="4" t="s">
        <v>140</v>
      </c>
      <c r="G59" s="7">
        <v>24543.74</v>
      </c>
      <c r="H59" s="6"/>
      <c r="I59" s="7">
        <v>0</v>
      </c>
      <c r="J59" s="6"/>
      <c r="K59" s="7">
        <v>0</v>
      </c>
      <c r="L59" s="6"/>
      <c r="M59" s="7">
        <v>-1953.81</v>
      </c>
      <c r="N59" s="6"/>
      <c r="O59" s="7">
        <v>0</v>
      </c>
      <c r="P59" s="6"/>
      <c r="Q59" s="7">
        <v>0</v>
      </c>
      <c r="R59" s="6"/>
      <c r="S59" s="7">
        <v>0</v>
      </c>
      <c r="T59" s="6"/>
      <c r="U59" s="7">
        <v>0</v>
      </c>
      <c r="V59" s="6"/>
      <c r="W59" s="7">
        <v>0</v>
      </c>
      <c r="X59" s="6"/>
      <c r="Y59" s="7">
        <v>0</v>
      </c>
      <c r="Z59" s="6"/>
      <c r="AA59" s="7">
        <v>0</v>
      </c>
      <c r="AB59" s="6"/>
      <c r="AC59" s="7">
        <v>0</v>
      </c>
      <c r="AD59" s="6"/>
      <c r="AE59" s="7">
        <v>0</v>
      </c>
      <c r="AF59" s="6"/>
      <c r="AG59" s="7">
        <v>0</v>
      </c>
      <c r="AH59" s="6"/>
      <c r="AI59" s="7">
        <v>0</v>
      </c>
      <c r="AJ59" s="6"/>
      <c r="AK59" s="7">
        <v>0</v>
      </c>
      <c r="AL59" s="6"/>
      <c r="AM59" s="7">
        <v>0</v>
      </c>
      <c r="AN59" s="6"/>
      <c r="AO59" s="7">
        <v>0</v>
      </c>
      <c r="AP59" s="6"/>
      <c r="AQ59" s="7">
        <v>0</v>
      </c>
      <c r="AR59" s="6"/>
      <c r="AS59" s="7">
        <v>0</v>
      </c>
      <c r="AT59" s="6"/>
      <c r="AU59" s="7">
        <v>0</v>
      </c>
      <c r="AV59" s="6"/>
      <c r="AW59" s="7">
        <v>0</v>
      </c>
      <c r="AX59" s="6"/>
      <c r="AY59" s="7">
        <v>16292.39</v>
      </c>
      <c r="AZ59" s="6"/>
      <c r="BA59" s="7">
        <v>0</v>
      </c>
      <c r="BB59" s="6"/>
      <c r="BC59" s="7">
        <v>0</v>
      </c>
      <c r="BD59" s="6"/>
      <c r="BE59" s="7">
        <v>0</v>
      </c>
      <c r="BF59" s="6"/>
      <c r="BG59" s="7">
        <v>0</v>
      </c>
      <c r="BH59" s="6"/>
      <c r="BI59" s="7">
        <v>0</v>
      </c>
      <c r="BJ59" s="6"/>
      <c r="BK59" s="7">
        <v>0</v>
      </c>
      <c r="BL59" s="6"/>
      <c r="BM59" s="7">
        <v>0</v>
      </c>
      <c r="BN59" s="6"/>
      <c r="BO59" s="7">
        <v>0</v>
      </c>
      <c r="BP59" s="6"/>
      <c r="BQ59" s="7">
        <f>ROUND(SUM(G59:BO59),5)</f>
        <v>38882.32</v>
      </c>
    </row>
    <row r="60" spans="1:69">
      <c r="A60" s="4"/>
      <c r="B60" s="4"/>
      <c r="C60" s="4"/>
      <c r="D60" s="4"/>
      <c r="E60" s="4"/>
      <c r="F60" s="4" t="s">
        <v>141</v>
      </c>
      <c r="G60" s="7">
        <v>777.21</v>
      </c>
      <c r="H60" s="6"/>
      <c r="I60" s="7">
        <v>0</v>
      </c>
      <c r="J60" s="6"/>
      <c r="K60" s="7">
        <v>0</v>
      </c>
      <c r="L60" s="6"/>
      <c r="M60" s="7">
        <v>0</v>
      </c>
      <c r="N60" s="6"/>
      <c r="O60" s="7">
        <v>0</v>
      </c>
      <c r="P60" s="6"/>
      <c r="Q60" s="7">
        <v>0</v>
      </c>
      <c r="R60" s="6"/>
      <c r="S60" s="7">
        <v>0</v>
      </c>
      <c r="T60" s="6"/>
      <c r="U60" s="7">
        <v>0</v>
      </c>
      <c r="V60" s="6"/>
      <c r="W60" s="7">
        <v>0</v>
      </c>
      <c r="X60" s="6"/>
      <c r="Y60" s="7">
        <v>0</v>
      </c>
      <c r="Z60" s="6"/>
      <c r="AA60" s="7">
        <v>0</v>
      </c>
      <c r="AB60" s="6"/>
      <c r="AC60" s="7">
        <v>0</v>
      </c>
      <c r="AD60" s="6"/>
      <c r="AE60" s="7">
        <v>0</v>
      </c>
      <c r="AF60" s="6"/>
      <c r="AG60" s="7">
        <v>0</v>
      </c>
      <c r="AH60" s="6"/>
      <c r="AI60" s="7">
        <v>0</v>
      </c>
      <c r="AJ60" s="6"/>
      <c r="AK60" s="7">
        <v>0</v>
      </c>
      <c r="AL60" s="6"/>
      <c r="AM60" s="7">
        <v>0</v>
      </c>
      <c r="AN60" s="6"/>
      <c r="AO60" s="7">
        <v>0</v>
      </c>
      <c r="AP60" s="6"/>
      <c r="AQ60" s="7">
        <v>0</v>
      </c>
      <c r="AR60" s="6"/>
      <c r="AS60" s="7">
        <v>0</v>
      </c>
      <c r="AT60" s="6"/>
      <c r="AU60" s="7">
        <v>0</v>
      </c>
      <c r="AV60" s="6"/>
      <c r="AW60" s="7">
        <v>0</v>
      </c>
      <c r="AX60" s="6"/>
      <c r="AY60" s="7">
        <v>0</v>
      </c>
      <c r="AZ60" s="6"/>
      <c r="BA60" s="7">
        <v>0</v>
      </c>
      <c r="BB60" s="6"/>
      <c r="BC60" s="7">
        <v>0</v>
      </c>
      <c r="BD60" s="6"/>
      <c r="BE60" s="7">
        <v>0</v>
      </c>
      <c r="BF60" s="6"/>
      <c r="BG60" s="7">
        <v>0</v>
      </c>
      <c r="BH60" s="6"/>
      <c r="BI60" s="7">
        <v>0</v>
      </c>
      <c r="BJ60" s="6"/>
      <c r="BK60" s="7">
        <v>0</v>
      </c>
      <c r="BL60" s="6"/>
      <c r="BM60" s="7">
        <v>0</v>
      </c>
      <c r="BN60" s="6"/>
      <c r="BO60" s="7">
        <v>0</v>
      </c>
      <c r="BP60" s="6"/>
      <c r="BQ60" s="7">
        <f>ROUND(SUM(G60:BO60),5)</f>
        <v>777.21</v>
      </c>
    </row>
    <row r="61" spans="1:69">
      <c r="A61" s="4"/>
      <c r="B61" s="4"/>
      <c r="C61" s="4"/>
      <c r="D61" s="4"/>
      <c r="E61" s="4"/>
      <c r="F61" s="4" t="s">
        <v>142</v>
      </c>
      <c r="G61" s="7">
        <v>19207.41</v>
      </c>
      <c r="H61" s="6"/>
      <c r="I61" s="7">
        <v>0</v>
      </c>
      <c r="J61" s="6"/>
      <c r="K61" s="7">
        <v>0</v>
      </c>
      <c r="L61" s="6"/>
      <c r="M61" s="7">
        <v>85.99</v>
      </c>
      <c r="N61" s="6"/>
      <c r="O61" s="7">
        <v>0</v>
      </c>
      <c r="P61" s="6"/>
      <c r="Q61" s="7">
        <v>0</v>
      </c>
      <c r="R61" s="6"/>
      <c r="S61" s="7">
        <v>0</v>
      </c>
      <c r="T61" s="6"/>
      <c r="U61" s="7">
        <v>0</v>
      </c>
      <c r="V61" s="6"/>
      <c r="W61" s="7">
        <v>0</v>
      </c>
      <c r="X61" s="6"/>
      <c r="Y61" s="7">
        <v>0</v>
      </c>
      <c r="Z61" s="6"/>
      <c r="AA61" s="7">
        <v>0</v>
      </c>
      <c r="AB61" s="6"/>
      <c r="AC61" s="7">
        <v>0</v>
      </c>
      <c r="AD61" s="6"/>
      <c r="AE61" s="7">
        <v>0</v>
      </c>
      <c r="AF61" s="6"/>
      <c r="AG61" s="7">
        <v>0</v>
      </c>
      <c r="AH61" s="6"/>
      <c r="AI61" s="7">
        <v>0</v>
      </c>
      <c r="AJ61" s="6"/>
      <c r="AK61" s="7">
        <v>0</v>
      </c>
      <c r="AL61" s="6"/>
      <c r="AM61" s="7">
        <v>0</v>
      </c>
      <c r="AN61" s="6"/>
      <c r="AO61" s="7">
        <v>0</v>
      </c>
      <c r="AP61" s="6"/>
      <c r="AQ61" s="7">
        <v>0</v>
      </c>
      <c r="AR61" s="6"/>
      <c r="AS61" s="7">
        <v>1186.02</v>
      </c>
      <c r="AT61" s="6"/>
      <c r="AU61" s="7">
        <v>0</v>
      </c>
      <c r="AV61" s="6"/>
      <c r="AW61" s="7">
        <v>0</v>
      </c>
      <c r="AX61" s="6"/>
      <c r="AY61" s="7">
        <v>3057.6</v>
      </c>
      <c r="AZ61" s="6"/>
      <c r="BA61" s="7">
        <v>0</v>
      </c>
      <c r="BB61" s="6"/>
      <c r="BC61" s="7">
        <v>0</v>
      </c>
      <c r="BD61" s="6"/>
      <c r="BE61" s="7">
        <v>15026.11</v>
      </c>
      <c r="BF61" s="6"/>
      <c r="BG61" s="7">
        <v>0</v>
      </c>
      <c r="BH61" s="6"/>
      <c r="BI61" s="7">
        <v>0</v>
      </c>
      <c r="BJ61" s="6"/>
      <c r="BK61" s="7">
        <v>3685</v>
      </c>
      <c r="BL61" s="6"/>
      <c r="BM61" s="7">
        <v>0</v>
      </c>
      <c r="BN61" s="6"/>
      <c r="BO61" s="7">
        <v>0</v>
      </c>
      <c r="BP61" s="6"/>
      <c r="BQ61" s="7">
        <f>ROUND(SUM(G61:BO61),5)</f>
        <v>42248.13</v>
      </c>
    </row>
    <row r="62" spans="1:69">
      <c r="A62" s="4"/>
      <c r="B62" s="4"/>
      <c r="C62" s="4"/>
      <c r="D62" s="4"/>
      <c r="E62" s="4"/>
      <c r="F62" s="4" t="s">
        <v>143</v>
      </c>
      <c r="G62" s="7">
        <v>5067.5600000000004</v>
      </c>
      <c r="H62" s="6"/>
      <c r="I62" s="7">
        <v>0</v>
      </c>
      <c r="J62" s="6"/>
      <c r="K62" s="7">
        <v>0</v>
      </c>
      <c r="L62" s="6"/>
      <c r="M62" s="7">
        <v>0</v>
      </c>
      <c r="N62" s="6"/>
      <c r="O62" s="7">
        <v>0</v>
      </c>
      <c r="P62" s="6"/>
      <c r="Q62" s="7">
        <v>0</v>
      </c>
      <c r="R62" s="6"/>
      <c r="S62" s="7">
        <v>0</v>
      </c>
      <c r="T62" s="6"/>
      <c r="U62" s="7">
        <v>0</v>
      </c>
      <c r="V62" s="6"/>
      <c r="W62" s="7">
        <v>0</v>
      </c>
      <c r="X62" s="6"/>
      <c r="Y62" s="7">
        <v>0</v>
      </c>
      <c r="Z62" s="6"/>
      <c r="AA62" s="7">
        <v>0</v>
      </c>
      <c r="AB62" s="6"/>
      <c r="AC62" s="7">
        <v>0</v>
      </c>
      <c r="AD62" s="6"/>
      <c r="AE62" s="7">
        <v>0</v>
      </c>
      <c r="AF62" s="6"/>
      <c r="AG62" s="7">
        <v>0</v>
      </c>
      <c r="AH62" s="6"/>
      <c r="AI62" s="7">
        <v>0</v>
      </c>
      <c r="AJ62" s="6"/>
      <c r="AK62" s="7">
        <v>0</v>
      </c>
      <c r="AL62" s="6"/>
      <c r="AM62" s="7">
        <v>0</v>
      </c>
      <c r="AN62" s="6"/>
      <c r="AO62" s="7">
        <v>0</v>
      </c>
      <c r="AP62" s="6"/>
      <c r="AQ62" s="7">
        <v>0</v>
      </c>
      <c r="AR62" s="6"/>
      <c r="AS62" s="7">
        <v>0</v>
      </c>
      <c r="AT62" s="6"/>
      <c r="AU62" s="7">
        <v>0</v>
      </c>
      <c r="AV62" s="6"/>
      <c r="AW62" s="7">
        <v>0</v>
      </c>
      <c r="AX62" s="6"/>
      <c r="AY62" s="7">
        <v>0</v>
      </c>
      <c r="AZ62" s="6"/>
      <c r="BA62" s="7">
        <v>0</v>
      </c>
      <c r="BB62" s="6"/>
      <c r="BC62" s="7">
        <v>0</v>
      </c>
      <c r="BD62" s="6"/>
      <c r="BE62" s="7">
        <v>0</v>
      </c>
      <c r="BF62" s="6"/>
      <c r="BG62" s="7">
        <v>0</v>
      </c>
      <c r="BH62" s="6"/>
      <c r="BI62" s="7">
        <v>0</v>
      </c>
      <c r="BJ62" s="6"/>
      <c r="BK62" s="7">
        <v>0</v>
      </c>
      <c r="BL62" s="6"/>
      <c r="BM62" s="7">
        <v>0</v>
      </c>
      <c r="BN62" s="6"/>
      <c r="BO62" s="7">
        <v>0</v>
      </c>
      <c r="BP62" s="6"/>
      <c r="BQ62" s="7">
        <f>ROUND(SUM(G62:BO62),5)</f>
        <v>5067.5600000000004</v>
      </c>
    </row>
    <row r="63" spans="1:69">
      <c r="A63" s="4"/>
      <c r="B63" s="4"/>
      <c r="C63" s="4"/>
      <c r="D63" s="4"/>
      <c r="E63" s="4"/>
      <c r="F63" s="4" t="s">
        <v>144</v>
      </c>
      <c r="G63" s="7">
        <v>3435.01</v>
      </c>
      <c r="H63" s="6"/>
      <c r="I63" s="7">
        <v>0</v>
      </c>
      <c r="J63" s="6"/>
      <c r="K63" s="7">
        <v>0</v>
      </c>
      <c r="L63" s="6"/>
      <c r="M63" s="7">
        <v>0</v>
      </c>
      <c r="N63" s="6"/>
      <c r="O63" s="7">
        <v>0</v>
      </c>
      <c r="P63" s="6"/>
      <c r="Q63" s="7">
        <v>0</v>
      </c>
      <c r="R63" s="6"/>
      <c r="S63" s="7">
        <v>0</v>
      </c>
      <c r="T63" s="6"/>
      <c r="U63" s="7">
        <v>0</v>
      </c>
      <c r="V63" s="6"/>
      <c r="W63" s="7">
        <v>0</v>
      </c>
      <c r="X63" s="6"/>
      <c r="Y63" s="7">
        <v>0</v>
      </c>
      <c r="Z63" s="6"/>
      <c r="AA63" s="7">
        <v>0</v>
      </c>
      <c r="AB63" s="6"/>
      <c r="AC63" s="7">
        <v>0</v>
      </c>
      <c r="AD63" s="6"/>
      <c r="AE63" s="7">
        <v>0</v>
      </c>
      <c r="AF63" s="6"/>
      <c r="AG63" s="7">
        <v>0</v>
      </c>
      <c r="AH63" s="6"/>
      <c r="AI63" s="7">
        <v>0</v>
      </c>
      <c r="AJ63" s="6"/>
      <c r="AK63" s="7">
        <v>0</v>
      </c>
      <c r="AL63" s="6"/>
      <c r="AM63" s="7">
        <v>0</v>
      </c>
      <c r="AN63" s="6"/>
      <c r="AO63" s="7">
        <v>0</v>
      </c>
      <c r="AP63" s="6"/>
      <c r="AQ63" s="7">
        <v>0</v>
      </c>
      <c r="AR63" s="6"/>
      <c r="AS63" s="7">
        <v>3956.92</v>
      </c>
      <c r="AT63" s="6"/>
      <c r="AU63" s="7">
        <v>0</v>
      </c>
      <c r="AV63" s="6"/>
      <c r="AW63" s="7">
        <v>-17574</v>
      </c>
      <c r="AX63" s="6"/>
      <c r="AY63" s="7">
        <v>25843</v>
      </c>
      <c r="AZ63" s="6"/>
      <c r="BA63" s="7">
        <v>0</v>
      </c>
      <c r="BB63" s="6"/>
      <c r="BC63" s="7">
        <v>0</v>
      </c>
      <c r="BD63" s="6"/>
      <c r="BE63" s="7">
        <v>0</v>
      </c>
      <c r="BF63" s="6"/>
      <c r="BG63" s="7">
        <v>0</v>
      </c>
      <c r="BH63" s="6"/>
      <c r="BI63" s="7">
        <v>0</v>
      </c>
      <c r="BJ63" s="6"/>
      <c r="BK63" s="7">
        <v>0</v>
      </c>
      <c r="BL63" s="6"/>
      <c r="BM63" s="7">
        <v>0</v>
      </c>
      <c r="BN63" s="6"/>
      <c r="BO63" s="7">
        <v>0</v>
      </c>
      <c r="BP63" s="6"/>
      <c r="BQ63" s="7">
        <f>ROUND(SUM(G63:BO63),5)</f>
        <v>15660.93</v>
      </c>
    </row>
    <row r="64" spans="1:69">
      <c r="A64" s="4"/>
      <c r="B64" s="4"/>
      <c r="C64" s="4"/>
      <c r="D64" s="4"/>
      <c r="E64" s="4"/>
      <c r="F64" s="4" t="s">
        <v>145</v>
      </c>
      <c r="G64" s="7">
        <v>5245.85</v>
      </c>
      <c r="H64" s="6"/>
      <c r="I64" s="7">
        <v>0</v>
      </c>
      <c r="J64" s="6"/>
      <c r="K64" s="7">
        <v>0</v>
      </c>
      <c r="L64" s="6"/>
      <c r="M64" s="7">
        <v>26560</v>
      </c>
      <c r="N64" s="6"/>
      <c r="O64" s="7">
        <v>0</v>
      </c>
      <c r="P64" s="6"/>
      <c r="Q64" s="7">
        <v>0</v>
      </c>
      <c r="R64" s="6"/>
      <c r="S64" s="7">
        <v>0</v>
      </c>
      <c r="T64" s="6"/>
      <c r="U64" s="7">
        <v>0</v>
      </c>
      <c r="V64" s="6"/>
      <c r="W64" s="7">
        <v>0</v>
      </c>
      <c r="X64" s="6"/>
      <c r="Y64" s="7">
        <v>0</v>
      </c>
      <c r="Z64" s="6"/>
      <c r="AA64" s="7">
        <v>0</v>
      </c>
      <c r="AB64" s="6"/>
      <c r="AC64" s="7">
        <v>0</v>
      </c>
      <c r="AD64" s="6"/>
      <c r="AE64" s="7">
        <v>0</v>
      </c>
      <c r="AF64" s="6"/>
      <c r="AG64" s="7">
        <v>0</v>
      </c>
      <c r="AH64" s="6"/>
      <c r="AI64" s="7">
        <v>0</v>
      </c>
      <c r="AJ64" s="6"/>
      <c r="AK64" s="7">
        <v>0</v>
      </c>
      <c r="AL64" s="6"/>
      <c r="AM64" s="7">
        <v>0</v>
      </c>
      <c r="AN64" s="6"/>
      <c r="AO64" s="7">
        <v>0</v>
      </c>
      <c r="AP64" s="6"/>
      <c r="AQ64" s="7">
        <v>0</v>
      </c>
      <c r="AR64" s="6"/>
      <c r="AS64" s="7">
        <v>0</v>
      </c>
      <c r="AT64" s="6"/>
      <c r="AU64" s="7">
        <v>0</v>
      </c>
      <c r="AV64" s="6"/>
      <c r="AW64" s="7">
        <v>0</v>
      </c>
      <c r="AX64" s="6"/>
      <c r="AY64" s="7">
        <v>36980.18</v>
      </c>
      <c r="AZ64" s="6"/>
      <c r="BA64" s="7">
        <v>0</v>
      </c>
      <c r="BB64" s="6"/>
      <c r="BC64" s="7">
        <v>0</v>
      </c>
      <c r="BD64" s="6"/>
      <c r="BE64" s="7">
        <v>0</v>
      </c>
      <c r="BF64" s="6"/>
      <c r="BG64" s="7">
        <v>0</v>
      </c>
      <c r="BH64" s="6"/>
      <c r="BI64" s="7">
        <v>0</v>
      </c>
      <c r="BJ64" s="6"/>
      <c r="BK64" s="7">
        <v>0</v>
      </c>
      <c r="BL64" s="6"/>
      <c r="BM64" s="7">
        <v>0</v>
      </c>
      <c r="BN64" s="6"/>
      <c r="BO64" s="7">
        <v>0</v>
      </c>
      <c r="BP64" s="6"/>
      <c r="BQ64" s="7">
        <f>ROUND(SUM(G64:BO64),5)</f>
        <v>68786.03</v>
      </c>
    </row>
    <row r="65" spans="1:69">
      <c r="A65" s="4"/>
      <c r="B65" s="4"/>
      <c r="C65" s="4"/>
      <c r="D65" s="4"/>
      <c r="E65" s="4"/>
      <c r="F65" s="4" t="s">
        <v>146</v>
      </c>
      <c r="G65" s="7">
        <v>5236.43</v>
      </c>
      <c r="H65" s="6"/>
      <c r="I65" s="7">
        <v>0</v>
      </c>
      <c r="J65" s="6"/>
      <c r="K65" s="7">
        <v>0</v>
      </c>
      <c r="L65" s="6"/>
      <c r="M65" s="7">
        <v>0</v>
      </c>
      <c r="N65" s="6"/>
      <c r="O65" s="7">
        <v>0</v>
      </c>
      <c r="P65" s="6"/>
      <c r="Q65" s="7">
        <v>0</v>
      </c>
      <c r="R65" s="6"/>
      <c r="S65" s="7">
        <v>0</v>
      </c>
      <c r="T65" s="6"/>
      <c r="U65" s="7">
        <v>0</v>
      </c>
      <c r="V65" s="6"/>
      <c r="W65" s="7">
        <v>0</v>
      </c>
      <c r="X65" s="6"/>
      <c r="Y65" s="7">
        <v>0</v>
      </c>
      <c r="Z65" s="6"/>
      <c r="AA65" s="7">
        <v>0</v>
      </c>
      <c r="AB65" s="6"/>
      <c r="AC65" s="7">
        <v>0</v>
      </c>
      <c r="AD65" s="6"/>
      <c r="AE65" s="7">
        <v>0</v>
      </c>
      <c r="AF65" s="6"/>
      <c r="AG65" s="7">
        <v>0</v>
      </c>
      <c r="AH65" s="6"/>
      <c r="AI65" s="7">
        <v>0</v>
      </c>
      <c r="AJ65" s="6"/>
      <c r="AK65" s="7">
        <v>0</v>
      </c>
      <c r="AL65" s="6"/>
      <c r="AM65" s="7">
        <v>0</v>
      </c>
      <c r="AN65" s="6"/>
      <c r="AO65" s="7">
        <v>0</v>
      </c>
      <c r="AP65" s="6"/>
      <c r="AQ65" s="7">
        <v>0</v>
      </c>
      <c r="AR65" s="6"/>
      <c r="AS65" s="7">
        <v>0</v>
      </c>
      <c r="AT65" s="6"/>
      <c r="AU65" s="7">
        <v>0</v>
      </c>
      <c r="AV65" s="6"/>
      <c r="AW65" s="7">
        <v>0</v>
      </c>
      <c r="AX65" s="6"/>
      <c r="AY65" s="7">
        <v>0</v>
      </c>
      <c r="AZ65" s="6"/>
      <c r="BA65" s="7">
        <v>0</v>
      </c>
      <c r="BB65" s="6"/>
      <c r="BC65" s="7">
        <v>0</v>
      </c>
      <c r="BD65" s="6"/>
      <c r="BE65" s="7">
        <v>0</v>
      </c>
      <c r="BF65" s="6"/>
      <c r="BG65" s="7">
        <v>0</v>
      </c>
      <c r="BH65" s="6"/>
      <c r="BI65" s="7">
        <v>0</v>
      </c>
      <c r="BJ65" s="6"/>
      <c r="BK65" s="7">
        <v>0</v>
      </c>
      <c r="BL65" s="6"/>
      <c r="BM65" s="7">
        <v>0</v>
      </c>
      <c r="BN65" s="6"/>
      <c r="BO65" s="7">
        <v>0</v>
      </c>
      <c r="BP65" s="6"/>
      <c r="BQ65" s="7">
        <f>ROUND(SUM(G65:BO65),5)</f>
        <v>5236.43</v>
      </c>
    </row>
    <row r="66" spans="1:69" ht="15.75" thickBot="1">
      <c r="A66" s="4"/>
      <c r="B66" s="4"/>
      <c r="C66" s="4"/>
      <c r="D66" s="4"/>
      <c r="E66" s="4"/>
      <c r="F66" s="4" t="s">
        <v>147</v>
      </c>
      <c r="G66" s="9">
        <v>18997.599999999999</v>
      </c>
      <c r="H66" s="6"/>
      <c r="I66" s="9">
        <v>0</v>
      </c>
      <c r="J66" s="6"/>
      <c r="K66" s="9">
        <v>0</v>
      </c>
      <c r="L66" s="6"/>
      <c r="M66" s="9">
        <v>0</v>
      </c>
      <c r="N66" s="6"/>
      <c r="O66" s="9">
        <v>0</v>
      </c>
      <c r="P66" s="6"/>
      <c r="Q66" s="9">
        <v>0</v>
      </c>
      <c r="R66" s="6"/>
      <c r="S66" s="9">
        <v>0</v>
      </c>
      <c r="T66" s="6"/>
      <c r="U66" s="9">
        <v>0</v>
      </c>
      <c r="V66" s="6"/>
      <c r="W66" s="9">
        <v>0</v>
      </c>
      <c r="X66" s="6"/>
      <c r="Y66" s="9">
        <v>0</v>
      </c>
      <c r="Z66" s="6"/>
      <c r="AA66" s="9">
        <v>0</v>
      </c>
      <c r="AB66" s="6"/>
      <c r="AC66" s="9">
        <v>0</v>
      </c>
      <c r="AD66" s="6"/>
      <c r="AE66" s="9">
        <v>0</v>
      </c>
      <c r="AF66" s="6"/>
      <c r="AG66" s="9">
        <v>0</v>
      </c>
      <c r="AH66" s="6"/>
      <c r="AI66" s="9">
        <v>0</v>
      </c>
      <c r="AJ66" s="6"/>
      <c r="AK66" s="9">
        <v>0</v>
      </c>
      <c r="AL66" s="6"/>
      <c r="AM66" s="9">
        <v>0</v>
      </c>
      <c r="AN66" s="6"/>
      <c r="AO66" s="9">
        <v>2999.68</v>
      </c>
      <c r="AP66" s="6"/>
      <c r="AQ66" s="9">
        <v>0</v>
      </c>
      <c r="AR66" s="6"/>
      <c r="AS66" s="9">
        <v>1900</v>
      </c>
      <c r="AT66" s="6"/>
      <c r="AU66" s="9">
        <v>0</v>
      </c>
      <c r="AV66" s="6"/>
      <c r="AW66" s="9">
        <v>0</v>
      </c>
      <c r="AX66" s="6"/>
      <c r="AY66" s="9">
        <v>0</v>
      </c>
      <c r="AZ66" s="6"/>
      <c r="BA66" s="9">
        <v>0</v>
      </c>
      <c r="BB66" s="6"/>
      <c r="BC66" s="9">
        <v>0</v>
      </c>
      <c r="BD66" s="6"/>
      <c r="BE66" s="9">
        <v>0</v>
      </c>
      <c r="BF66" s="6"/>
      <c r="BG66" s="9">
        <v>0</v>
      </c>
      <c r="BH66" s="6"/>
      <c r="BI66" s="9">
        <v>0</v>
      </c>
      <c r="BJ66" s="6"/>
      <c r="BK66" s="9">
        <v>0</v>
      </c>
      <c r="BL66" s="6"/>
      <c r="BM66" s="9">
        <v>0</v>
      </c>
      <c r="BN66" s="6"/>
      <c r="BO66" s="9">
        <v>0</v>
      </c>
      <c r="BP66" s="6"/>
      <c r="BQ66" s="9">
        <f>ROUND(SUM(G66:BO66),5)</f>
        <v>23897.279999999999</v>
      </c>
    </row>
    <row r="67" spans="1:69">
      <c r="A67" s="4"/>
      <c r="B67" s="4"/>
      <c r="C67" s="4"/>
      <c r="D67" s="4"/>
      <c r="E67" s="4" t="s">
        <v>148</v>
      </c>
      <c r="F67" s="4"/>
      <c r="G67" s="7">
        <f>ROUND(SUM(G36:G66),5)</f>
        <v>1058992.46</v>
      </c>
      <c r="H67" s="6"/>
      <c r="I67" s="7">
        <f>ROUND(SUM(I36:I66),5)</f>
        <v>356.36</v>
      </c>
      <c r="J67" s="6"/>
      <c r="K67" s="7">
        <f>ROUND(SUM(K36:K66),5)</f>
        <v>0</v>
      </c>
      <c r="L67" s="6"/>
      <c r="M67" s="7">
        <f>ROUND(SUM(M36:M66),5)</f>
        <v>110763.45</v>
      </c>
      <c r="N67" s="6"/>
      <c r="O67" s="7">
        <f>ROUND(SUM(O36:O66),5)</f>
        <v>380.24</v>
      </c>
      <c r="P67" s="6"/>
      <c r="Q67" s="7">
        <f>ROUND(SUM(Q36:Q66),5)</f>
        <v>0</v>
      </c>
      <c r="R67" s="6"/>
      <c r="S67" s="7">
        <f>ROUND(SUM(S36:S66),5)</f>
        <v>2664.95</v>
      </c>
      <c r="T67" s="6"/>
      <c r="U67" s="7">
        <f>ROUND(SUM(U36:U66),5)</f>
        <v>30021.74</v>
      </c>
      <c r="V67" s="6"/>
      <c r="W67" s="7">
        <f>ROUND(SUM(W36:W66),5)</f>
        <v>57544.44</v>
      </c>
      <c r="X67" s="6"/>
      <c r="Y67" s="7">
        <f>ROUND(SUM(Y36:Y66),5)</f>
        <v>0</v>
      </c>
      <c r="Z67" s="6"/>
      <c r="AA67" s="7">
        <f>ROUND(SUM(AA36:AA66),5)</f>
        <v>40320.06</v>
      </c>
      <c r="AB67" s="6"/>
      <c r="AC67" s="7">
        <f>ROUND(SUM(AC36:AC66),5)</f>
        <v>0</v>
      </c>
      <c r="AD67" s="6"/>
      <c r="AE67" s="7">
        <f>ROUND(SUM(AE36:AE66),5)</f>
        <v>127500</v>
      </c>
      <c r="AF67" s="6"/>
      <c r="AG67" s="7">
        <f>ROUND(SUM(AG36:AG66),5)</f>
        <v>0</v>
      </c>
      <c r="AH67" s="6"/>
      <c r="AI67" s="7">
        <f>ROUND(SUM(AI36:AI66),5)</f>
        <v>0</v>
      </c>
      <c r="AJ67" s="6"/>
      <c r="AK67" s="7">
        <f>ROUND(SUM(AK36:AK66),5)</f>
        <v>0</v>
      </c>
      <c r="AL67" s="6"/>
      <c r="AM67" s="7">
        <f>ROUND(SUM(AM36:AM66),5)</f>
        <v>0</v>
      </c>
      <c r="AN67" s="6"/>
      <c r="AO67" s="7">
        <f>ROUND(SUM(AO36:AO66),5)</f>
        <v>2999.68</v>
      </c>
      <c r="AP67" s="6"/>
      <c r="AQ67" s="7">
        <f>ROUND(SUM(AQ36:AQ66),5)</f>
        <v>12254.29</v>
      </c>
      <c r="AR67" s="6"/>
      <c r="AS67" s="7">
        <f>ROUND(SUM(AS36:AS66),5)</f>
        <v>7542.94</v>
      </c>
      <c r="AT67" s="6"/>
      <c r="AU67" s="7">
        <f>ROUND(SUM(AU36:AU66),5)</f>
        <v>0</v>
      </c>
      <c r="AV67" s="6"/>
      <c r="AW67" s="7">
        <f>ROUND(SUM(AW36:AW66),5)</f>
        <v>-17574</v>
      </c>
      <c r="AX67" s="6"/>
      <c r="AY67" s="7">
        <f>ROUND(SUM(AY36:AY66),5)</f>
        <v>85435.67</v>
      </c>
      <c r="AZ67" s="6"/>
      <c r="BA67" s="7">
        <f>ROUND(SUM(BA36:BA66),5)</f>
        <v>7003.75</v>
      </c>
      <c r="BB67" s="6"/>
      <c r="BC67" s="7">
        <f>ROUND(SUM(BC36:BC66),5)</f>
        <v>398.84</v>
      </c>
      <c r="BD67" s="6"/>
      <c r="BE67" s="7">
        <f>ROUND(SUM(BE36:BE66),5)</f>
        <v>15926.11</v>
      </c>
      <c r="BF67" s="6"/>
      <c r="BG67" s="7">
        <f>ROUND(SUM(BG36:BG66),5)</f>
        <v>4200</v>
      </c>
      <c r="BH67" s="6"/>
      <c r="BI67" s="7">
        <f>ROUND(SUM(BI36:BI66),5)</f>
        <v>3780</v>
      </c>
      <c r="BJ67" s="6"/>
      <c r="BK67" s="7">
        <f>ROUND(SUM(BK36:BK66),5)</f>
        <v>5860</v>
      </c>
      <c r="BL67" s="6"/>
      <c r="BM67" s="7">
        <f>ROUND(SUM(BM36:BM66),5)</f>
        <v>58212.33</v>
      </c>
      <c r="BN67" s="6"/>
      <c r="BO67" s="7">
        <f>ROUND(SUM(BO36:BO66),5)</f>
        <v>41015.730000000003</v>
      </c>
      <c r="BP67" s="6"/>
      <c r="BQ67" s="7">
        <f>ROUND(SUM(G67:BO67),5)</f>
        <v>1655599.04</v>
      </c>
    </row>
    <row r="68" spans="1:69">
      <c r="A68" s="4"/>
      <c r="B68" s="4"/>
      <c r="C68" s="4"/>
      <c r="D68" s="4"/>
      <c r="E68" s="4" t="s">
        <v>149</v>
      </c>
      <c r="F68" s="4"/>
      <c r="G68" s="7"/>
      <c r="H68" s="6"/>
      <c r="I68" s="7"/>
      <c r="J68" s="6"/>
      <c r="K68" s="7"/>
      <c r="L68" s="6"/>
      <c r="M68" s="7"/>
      <c r="N68" s="6"/>
      <c r="O68" s="7"/>
      <c r="P68" s="6"/>
      <c r="Q68" s="7"/>
      <c r="R68" s="6"/>
      <c r="S68" s="7"/>
      <c r="T68" s="6"/>
      <c r="U68" s="7"/>
      <c r="V68" s="6"/>
      <c r="W68" s="7"/>
      <c r="X68" s="6"/>
      <c r="Y68" s="7"/>
      <c r="Z68" s="6"/>
      <c r="AA68" s="7"/>
      <c r="AB68" s="6"/>
      <c r="AC68" s="7"/>
      <c r="AD68" s="6"/>
      <c r="AE68" s="7"/>
      <c r="AF68" s="6"/>
      <c r="AG68" s="7"/>
      <c r="AH68" s="6"/>
      <c r="AI68" s="7"/>
      <c r="AJ68" s="6"/>
      <c r="AK68" s="7"/>
      <c r="AL68" s="6"/>
      <c r="AM68" s="7"/>
      <c r="AN68" s="6"/>
      <c r="AO68" s="7"/>
      <c r="AP68" s="6"/>
      <c r="AQ68" s="7"/>
      <c r="AR68" s="6"/>
      <c r="AS68" s="7"/>
      <c r="AT68" s="6"/>
      <c r="AU68" s="7"/>
      <c r="AV68" s="6"/>
      <c r="AW68" s="7"/>
      <c r="AX68" s="6"/>
      <c r="AY68" s="7"/>
      <c r="AZ68" s="6"/>
      <c r="BA68" s="7"/>
      <c r="BB68" s="6"/>
      <c r="BC68" s="7"/>
      <c r="BD68" s="6"/>
      <c r="BE68" s="7"/>
      <c r="BF68" s="6"/>
      <c r="BG68" s="7"/>
      <c r="BH68" s="6"/>
      <c r="BI68" s="7"/>
      <c r="BJ68" s="6"/>
      <c r="BK68" s="7"/>
      <c r="BL68" s="6"/>
      <c r="BM68" s="7"/>
      <c r="BN68" s="6"/>
      <c r="BO68" s="7"/>
      <c r="BP68" s="6"/>
      <c r="BQ68" s="7"/>
    </row>
    <row r="69" spans="1:69" ht="15.75" thickBot="1">
      <c r="A69" s="4"/>
      <c r="B69" s="4"/>
      <c r="C69" s="4"/>
      <c r="D69" s="4"/>
      <c r="E69" s="4"/>
      <c r="F69" s="4" t="s">
        <v>150</v>
      </c>
      <c r="G69" s="9">
        <v>0</v>
      </c>
      <c r="H69" s="6"/>
      <c r="I69" s="9">
        <v>0</v>
      </c>
      <c r="J69" s="6"/>
      <c r="K69" s="9">
        <v>0</v>
      </c>
      <c r="L69" s="6"/>
      <c r="M69" s="9">
        <v>0</v>
      </c>
      <c r="N69" s="6"/>
      <c r="O69" s="9">
        <v>0</v>
      </c>
      <c r="P69" s="6"/>
      <c r="Q69" s="9">
        <v>0</v>
      </c>
      <c r="R69" s="6"/>
      <c r="S69" s="9">
        <v>0</v>
      </c>
      <c r="T69" s="6"/>
      <c r="U69" s="9">
        <v>0</v>
      </c>
      <c r="V69" s="6"/>
      <c r="W69" s="9">
        <v>0</v>
      </c>
      <c r="X69" s="6"/>
      <c r="Y69" s="9">
        <v>0</v>
      </c>
      <c r="Z69" s="6"/>
      <c r="AA69" s="9">
        <v>0</v>
      </c>
      <c r="AB69" s="6"/>
      <c r="AC69" s="9">
        <v>0</v>
      </c>
      <c r="AD69" s="6"/>
      <c r="AE69" s="9">
        <v>0</v>
      </c>
      <c r="AF69" s="6"/>
      <c r="AG69" s="9">
        <v>0</v>
      </c>
      <c r="AH69" s="6"/>
      <c r="AI69" s="9">
        <v>0</v>
      </c>
      <c r="AJ69" s="6"/>
      <c r="AK69" s="9">
        <v>0</v>
      </c>
      <c r="AL69" s="6"/>
      <c r="AM69" s="9">
        <v>0</v>
      </c>
      <c r="AN69" s="6"/>
      <c r="AO69" s="9">
        <v>0</v>
      </c>
      <c r="AP69" s="6"/>
      <c r="AQ69" s="9">
        <v>0</v>
      </c>
      <c r="AR69" s="6"/>
      <c r="AS69" s="9">
        <v>5853.5</v>
      </c>
      <c r="AT69" s="6"/>
      <c r="AU69" s="9">
        <v>0</v>
      </c>
      <c r="AV69" s="6"/>
      <c r="AW69" s="9">
        <v>0</v>
      </c>
      <c r="AX69" s="6"/>
      <c r="AY69" s="9">
        <v>0</v>
      </c>
      <c r="AZ69" s="6"/>
      <c r="BA69" s="9">
        <v>0</v>
      </c>
      <c r="BB69" s="6"/>
      <c r="BC69" s="9">
        <v>0</v>
      </c>
      <c r="BD69" s="6"/>
      <c r="BE69" s="9">
        <v>0</v>
      </c>
      <c r="BF69" s="6"/>
      <c r="BG69" s="9">
        <v>0</v>
      </c>
      <c r="BH69" s="6"/>
      <c r="BI69" s="9">
        <v>0</v>
      </c>
      <c r="BJ69" s="6"/>
      <c r="BK69" s="9">
        <v>0</v>
      </c>
      <c r="BL69" s="6"/>
      <c r="BM69" s="9">
        <v>0</v>
      </c>
      <c r="BN69" s="6"/>
      <c r="BO69" s="9">
        <v>0</v>
      </c>
      <c r="BP69" s="6"/>
      <c r="BQ69" s="9">
        <f>ROUND(SUM(G69:BO69),5)</f>
        <v>5853.5</v>
      </c>
    </row>
    <row r="70" spans="1:69">
      <c r="A70" s="4"/>
      <c r="B70" s="4"/>
      <c r="C70" s="4"/>
      <c r="D70" s="4"/>
      <c r="E70" s="4" t="s">
        <v>151</v>
      </c>
      <c r="F70" s="4"/>
      <c r="G70" s="7">
        <f>ROUND(SUM(G68:G69),5)</f>
        <v>0</v>
      </c>
      <c r="H70" s="6"/>
      <c r="I70" s="7">
        <f>ROUND(SUM(I68:I69),5)</f>
        <v>0</v>
      </c>
      <c r="J70" s="6"/>
      <c r="K70" s="7">
        <f>ROUND(SUM(K68:K69),5)</f>
        <v>0</v>
      </c>
      <c r="L70" s="6"/>
      <c r="M70" s="7">
        <f>ROUND(SUM(M68:M69),5)</f>
        <v>0</v>
      </c>
      <c r="N70" s="6"/>
      <c r="O70" s="7">
        <f>ROUND(SUM(O68:O69),5)</f>
        <v>0</v>
      </c>
      <c r="P70" s="6"/>
      <c r="Q70" s="7">
        <f>ROUND(SUM(Q68:Q69),5)</f>
        <v>0</v>
      </c>
      <c r="R70" s="6"/>
      <c r="S70" s="7">
        <f>ROUND(SUM(S68:S69),5)</f>
        <v>0</v>
      </c>
      <c r="T70" s="6"/>
      <c r="U70" s="7">
        <f>ROUND(SUM(U68:U69),5)</f>
        <v>0</v>
      </c>
      <c r="V70" s="6"/>
      <c r="W70" s="7">
        <f>ROUND(SUM(W68:W69),5)</f>
        <v>0</v>
      </c>
      <c r="X70" s="6"/>
      <c r="Y70" s="7">
        <f>ROUND(SUM(Y68:Y69),5)</f>
        <v>0</v>
      </c>
      <c r="Z70" s="6"/>
      <c r="AA70" s="7">
        <f>ROUND(SUM(AA68:AA69),5)</f>
        <v>0</v>
      </c>
      <c r="AB70" s="6"/>
      <c r="AC70" s="7">
        <f>ROUND(SUM(AC68:AC69),5)</f>
        <v>0</v>
      </c>
      <c r="AD70" s="6"/>
      <c r="AE70" s="7">
        <f>ROUND(SUM(AE68:AE69),5)</f>
        <v>0</v>
      </c>
      <c r="AF70" s="6"/>
      <c r="AG70" s="7">
        <f>ROUND(SUM(AG68:AG69),5)</f>
        <v>0</v>
      </c>
      <c r="AH70" s="6"/>
      <c r="AI70" s="7">
        <f>ROUND(SUM(AI68:AI69),5)</f>
        <v>0</v>
      </c>
      <c r="AJ70" s="6"/>
      <c r="AK70" s="7">
        <f>ROUND(SUM(AK68:AK69),5)</f>
        <v>0</v>
      </c>
      <c r="AL70" s="6"/>
      <c r="AM70" s="7">
        <f>ROUND(SUM(AM68:AM69),5)</f>
        <v>0</v>
      </c>
      <c r="AN70" s="6"/>
      <c r="AO70" s="7">
        <f>ROUND(SUM(AO68:AO69),5)</f>
        <v>0</v>
      </c>
      <c r="AP70" s="6"/>
      <c r="AQ70" s="7">
        <f>ROUND(SUM(AQ68:AQ69),5)</f>
        <v>0</v>
      </c>
      <c r="AR70" s="6"/>
      <c r="AS70" s="7">
        <f>ROUND(SUM(AS68:AS69),5)</f>
        <v>5853.5</v>
      </c>
      <c r="AT70" s="6"/>
      <c r="AU70" s="7">
        <f>ROUND(SUM(AU68:AU69),5)</f>
        <v>0</v>
      </c>
      <c r="AV70" s="6"/>
      <c r="AW70" s="7">
        <f>ROUND(SUM(AW68:AW69),5)</f>
        <v>0</v>
      </c>
      <c r="AX70" s="6"/>
      <c r="AY70" s="7">
        <f>ROUND(SUM(AY68:AY69),5)</f>
        <v>0</v>
      </c>
      <c r="AZ70" s="6"/>
      <c r="BA70" s="7">
        <f>ROUND(SUM(BA68:BA69),5)</f>
        <v>0</v>
      </c>
      <c r="BB70" s="6"/>
      <c r="BC70" s="7">
        <f>ROUND(SUM(BC68:BC69),5)</f>
        <v>0</v>
      </c>
      <c r="BD70" s="6"/>
      <c r="BE70" s="7">
        <f>ROUND(SUM(BE68:BE69),5)</f>
        <v>0</v>
      </c>
      <c r="BF70" s="6"/>
      <c r="BG70" s="7">
        <f>ROUND(SUM(BG68:BG69),5)</f>
        <v>0</v>
      </c>
      <c r="BH70" s="6"/>
      <c r="BI70" s="7">
        <f>ROUND(SUM(BI68:BI69),5)</f>
        <v>0</v>
      </c>
      <c r="BJ70" s="6"/>
      <c r="BK70" s="7">
        <f>ROUND(SUM(BK68:BK69),5)</f>
        <v>0</v>
      </c>
      <c r="BL70" s="6"/>
      <c r="BM70" s="7">
        <f>ROUND(SUM(BM68:BM69),5)</f>
        <v>0</v>
      </c>
      <c r="BN70" s="6"/>
      <c r="BO70" s="7">
        <f>ROUND(SUM(BO68:BO69),5)</f>
        <v>0</v>
      </c>
      <c r="BP70" s="6"/>
      <c r="BQ70" s="7">
        <f>ROUND(SUM(G70:BO70),5)</f>
        <v>5853.5</v>
      </c>
    </row>
    <row r="71" spans="1:69">
      <c r="A71" s="4"/>
      <c r="B71" s="4"/>
      <c r="C71" s="4"/>
      <c r="D71" s="4"/>
      <c r="E71" s="4" t="s">
        <v>152</v>
      </c>
      <c r="F71" s="4"/>
      <c r="G71" s="7"/>
      <c r="H71" s="6"/>
      <c r="I71" s="7"/>
      <c r="J71" s="6"/>
      <c r="K71" s="7"/>
      <c r="L71" s="6"/>
      <c r="M71" s="7"/>
      <c r="N71" s="6"/>
      <c r="O71" s="7"/>
      <c r="P71" s="6"/>
      <c r="Q71" s="7"/>
      <c r="R71" s="6"/>
      <c r="S71" s="7"/>
      <c r="T71" s="6"/>
      <c r="U71" s="7"/>
      <c r="V71" s="6"/>
      <c r="W71" s="7"/>
      <c r="X71" s="6"/>
      <c r="Y71" s="7"/>
      <c r="Z71" s="6"/>
      <c r="AA71" s="7"/>
      <c r="AB71" s="6"/>
      <c r="AC71" s="7"/>
      <c r="AD71" s="6"/>
      <c r="AE71" s="7"/>
      <c r="AF71" s="6"/>
      <c r="AG71" s="7"/>
      <c r="AH71" s="6"/>
      <c r="AI71" s="7"/>
      <c r="AJ71" s="6"/>
      <c r="AK71" s="7"/>
      <c r="AL71" s="6"/>
      <c r="AM71" s="7"/>
      <c r="AN71" s="6"/>
      <c r="AO71" s="7"/>
      <c r="AP71" s="6"/>
      <c r="AQ71" s="7"/>
      <c r="AR71" s="6"/>
      <c r="AS71" s="7"/>
      <c r="AT71" s="6"/>
      <c r="AU71" s="7"/>
      <c r="AV71" s="6"/>
      <c r="AW71" s="7"/>
      <c r="AX71" s="6"/>
      <c r="AY71" s="7"/>
      <c r="AZ71" s="6"/>
      <c r="BA71" s="7"/>
      <c r="BB71" s="6"/>
      <c r="BC71" s="7"/>
      <c r="BD71" s="6"/>
      <c r="BE71" s="7"/>
      <c r="BF71" s="6"/>
      <c r="BG71" s="7"/>
      <c r="BH71" s="6"/>
      <c r="BI71" s="7"/>
      <c r="BJ71" s="6"/>
      <c r="BK71" s="7"/>
      <c r="BL71" s="6"/>
      <c r="BM71" s="7"/>
      <c r="BN71" s="6"/>
      <c r="BO71" s="7"/>
      <c r="BP71" s="6"/>
      <c r="BQ71" s="7"/>
    </row>
    <row r="72" spans="1:69">
      <c r="A72" s="4"/>
      <c r="B72" s="4"/>
      <c r="C72" s="4"/>
      <c r="D72" s="4"/>
      <c r="E72" s="4"/>
      <c r="F72" s="4" t="s">
        <v>153</v>
      </c>
      <c r="G72" s="7">
        <v>37498.21</v>
      </c>
      <c r="H72" s="6"/>
      <c r="I72" s="7">
        <v>0</v>
      </c>
      <c r="J72" s="6"/>
      <c r="K72" s="7">
        <v>0</v>
      </c>
      <c r="L72" s="6"/>
      <c r="M72" s="7">
        <v>3500</v>
      </c>
      <c r="N72" s="6"/>
      <c r="O72" s="7">
        <v>0</v>
      </c>
      <c r="P72" s="6"/>
      <c r="Q72" s="7">
        <v>0</v>
      </c>
      <c r="R72" s="6"/>
      <c r="S72" s="7">
        <v>0</v>
      </c>
      <c r="T72" s="6"/>
      <c r="U72" s="7">
        <v>0</v>
      </c>
      <c r="V72" s="6"/>
      <c r="W72" s="7">
        <v>0</v>
      </c>
      <c r="X72" s="6"/>
      <c r="Y72" s="7">
        <v>0</v>
      </c>
      <c r="Z72" s="6"/>
      <c r="AA72" s="7">
        <v>0</v>
      </c>
      <c r="AB72" s="6"/>
      <c r="AC72" s="7">
        <v>0</v>
      </c>
      <c r="AD72" s="6"/>
      <c r="AE72" s="7">
        <v>0</v>
      </c>
      <c r="AF72" s="6"/>
      <c r="AG72" s="7">
        <v>0</v>
      </c>
      <c r="AH72" s="6"/>
      <c r="AI72" s="7">
        <v>0</v>
      </c>
      <c r="AJ72" s="6"/>
      <c r="AK72" s="7">
        <v>0</v>
      </c>
      <c r="AL72" s="6"/>
      <c r="AM72" s="7">
        <v>0</v>
      </c>
      <c r="AN72" s="6"/>
      <c r="AO72" s="7">
        <v>0</v>
      </c>
      <c r="AP72" s="6"/>
      <c r="AQ72" s="7">
        <v>0</v>
      </c>
      <c r="AR72" s="6"/>
      <c r="AS72" s="7">
        <v>0</v>
      </c>
      <c r="AT72" s="6"/>
      <c r="AU72" s="7">
        <v>0</v>
      </c>
      <c r="AV72" s="6"/>
      <c r="AW72" s="7">
        <v>6275.44</v>
      </c>
      <c r="AX72" s="6"/>
      <c r="AY72" s="7">
        <v>68253.58</v>
      </c>
      <c r="AZ72" s="6"/>
      <c r="BA72" s="7">
        <v>3315.14</v>
      </c>
      <c r="BB72" s="6"/>
      <c r="BC72" s="7">
        <v>0</v>
      </c>
      <c r="BD72" s="6"/>
      <c r="BE72" s="7">
        <v>0</v>
      </c>
      <c r="BF72" s="6"/>
      <c r="BG72" s="7">
        <v>0</v>
      </c>
      <c r="BH72" s="6"/>
      <c r="BI72" s="7">
        <v>0</v>
      </c>
      <c r="BJ72" s="6"/>
      <c r="BK72" s="7">
        <v>0</v>
      </c>
      <c r="BL72" s="6"/>
      <c r="BM72" s="7">
        <v>0</v>
      </c>
      <c r="BN72" s="6"/>
      <c r="BO72" s="7">
        <v>13854.26</v>
      </c>
      <c r="BP72" s="6"/>
      <c r="BQ72" s="7">
        <f>ROUND(SUM(G72:BO72),5)</f>
        <v>132696.63</v>
      </c>
    </row>
    <row r="73" spans="1:69">
      <c r="A73" s="4"/>
      <c r="B73" s="4"/>
      <c r="C73" s="4"/>
      <c r="D73" s="4"/>
      <c r="E73" s="4"/>
      <c r="F73" s="4" t="s">
        <v>154</v>
      </c>
      <c r="G73" s="7">
        <v>7364.98</v>
      </c>
      <c r="H73" s="6"/>
      <c r="I73" s="7">
        <v>0</v>
      </c>
      <c r="J73" s="6"/>
      <c r="K73" s="7">
        <v>0</v>
      </c>
      <c r="L73" s="6"/>
      <c r="M73" s="7">
        <v>0</v>
      </c>
      <c r="N73" s="6"/>
      <c r="O73" s="7">
        <v>0</v>
      </c>
      <c r="P73" s="6"/>
      <c r="Q73" s="7">
        <v>0</v>
      </c>
      <c r="R73" s="6"/>
      <c r="S73" s="7">
        <v>0</v>
      </c>
      <c r="T73" s="6"/>
      <c r="U73" s="7">
        <v>0</v>
      </c>
      <c r="V73" s="6"/>
      <c r="W73" s="7">
        <v>0</v>
      </c>
      <c r="X73" s="6"/>
      <c r="Y73" s="7">
        <v>0</v>
      </c>
      <c r="Z73" s="6"/>
      <c r="AA73" s="7">
        <v>0</v>
      </c>
      <c r="AB73" s="6"/>
      <c r="AC73" s="7">
        <v>0</v>
      </c>
      <c r="AD73" s="6"/>
      <c r="AE73" s="7">
        <v>0</v>
      </c>
      <c r="AF73" s="6"/>
      <c r="AG73" s="7">
        <v>0</v>
      </c>
      <c r="AH73" s="6"/>
      <c r="AI73" s="7">
        <v>0</v>
      </c>
      <c r="AJ73" s="6"/>
      <c r="AK73" s="7">
        <v>0</v>
      </c>
      <c r="AL73" s="6"/>
      <c r="AM73" s="7">
        <v>0</v>
      </c>
      <c r="AN73" s="6"/>
      <c r="AO73" s="7">
        <v>0</v>
      </c>
      <c r="AP73" s="6"/>
      <c r="AQ73" s="7">
        <v>0</v>
      </c>
      <c r="AR73" s="6"/>
      <c r="AS73" s="7">
        <v>0</v>
      </c>
      <c r="AT73" s="6"/>
      <c r="AU73" s="7">
        <v>0</v>
      </c>
      <c r="AV73" s="6"/>
      <c r="AW73" s="7">
        <v>0</v>
      </c>
      <c r="AX73" s="6"/>
      <c r="AY73" s="7">
        <v>27631.62</v>
      </c>
      <c r="AZ73" s="6"/>
      <c r="BA73" s="7">
        <v>15850</v>
      </c>
      <c r="BB73" s="6"/>
      <c r="BC73" s="7">
        <v>0</v>
      </c>
      <c r="BD73" s="6"/>
      <c r="BE73" s="7">
        <v>0</v>
      </c>
      <c r="BF73" s="6"/>
      <c r="BG73" s="7">
        <v>0</v>
      </c>
      <c r="BH73" s="6"/>
      <c r="BI73" s="7">
        <v>0</v>
      </c>
      <c r="BJ73" s="6"/>
      <c r="BK73" s="7">
        <v>0</v>
      </c>
      <c r="BL73" s="6"/>
      <c r="BM73" s="7">
        <v>0</v>
      </c>
      <c r="BN73" s="6"/>
      <c r="BO73" s="7">
        <v>28149.95</v>
      </c>
      <c r="BP73" s="6"/>
      <c r="BQ73" s="7">
        <f>ROUND(SUM(G73:BO73),5)</f>
        <v>78996.55</v>
      </c>
    </row>
    <row r="74" spans="1:69">
      <c r="A74" s="4"/>
      <c r="B74" s="4"/>
      <c r="C74" s="4"/>
      <c r="D74" s="4"/>
      <c r="E74" s="4"/>
      <c r="F74" s="4" t="s">
        <v>155</v>
      </c>
      <c r="G74" s="7">
        <v>4343</v>
      </c>
      <c r="H74" s="6"/>
      <c r="I74" s="7">
        <v>0</v>
      </c>
      <c r="J74" s="6"/>
      <c r="K74" s="7">
        <v>0</v>
      </c>
      <c r="L74" s="6"/>
      <c r="M74" s="7">
        <v>0</v>
      </c>
      <c r="N74" s="6"/>
      <c r="O74" s="7">
        <v>0</v>
      </c>
      <c r="P74" s="6"/>
      <c r="Q74" s="7">
        <v>0</v>
      </c>
      <c r="R74" s="6"/>
      <c r="S74" s="7">
        <v>0</v>
      </c>
      <c r="T74" s="6"/>
      <c r="U74" s="7">
        <v>0</v>
      </c>
      <c r="V74" s="6"/>
      <c r="W74" s="7">
        <v>0</v>
      </c>
      <c r="X74" s="6"/>
      <c r="Y74" s="7">
        <v>0</v>
      </c>
      <c r="Z74" s="6"/>
      <c r="AA74" s="7">
        <v>0</v>
      </c>
      <c r="AB74" s="6"/>
      <c r="AC74" s="7">
        <v>0</v>
      </c>
      <c r="AD74" s="6"/>
      <c r="AE74" s="7">
        <v>0</v>
      </c>
      <c r="AF74" s="6"/>
      <c r="AG74" s="7">
        <v>0</v>
      </c>
      <c r="AH74" s="6"/>
      <c r="AI74" s="7">
        <v>0</v>
      </c>
      <c r="AJ74" s="6"/>
      <c r="AK74" s="7">
        <v>0</v>
      </c>
      <c r="AL74" s="6"/>
      <c r="AM74" s="7">
        <v>0</v>
      </c>
      <c r="AN74" s="6"/>
      <c r="AO74" s="7">
        <v>0</v>
      </c>
      <c r="AP74" s="6"/>
      <c r="AQ74" s="7">
        <v>0</v>
      </c>
      <c r="AR74" s="6"/>
      <c r="AS74" s="7">
        <v>0</v>
      </c>
      <c r="AT74" s="6"/>
      <c r="AU74" s="7">
        <v>0</v>
      </c>
      <c r="AV74" s="6"/>
      <c r="AW74" s="7">
        <v>0</v>
      </c>
      <c r="AX74" s="6"/>
      <c r="AY74" s="7">
        <v>0</v>
      </c>
      <c r="AZ74" s="6"/>
      <c r="BA74" s="7">
        <v>0</v>
      </c>
      <c r="BB74" s="6"/>
      <c r="BC74" s="7">
        <v>0</v>
      </c>
      <c r="BD74" s="6"/>
      <c r="BE74" s="7">
        <v>0</v>
      </c>
      <c r="BF74" s="6"/>
      <c r="BG74" s="7">
        <v>0</v>
      </c>
      <c r="BH74" s="6"/>
      <c r="BI74" s="7">
        <v>0</v>
      </c>
      <c r="BJ74" s="6"/>
      <c r="BK74" s="7">
        <v>0</v>
      </c>
      <c r="BL74" s="6"/>
      <c r="BM74" s="7">
        <v>0</v>
      </c>
      <c r="BN74" s="6"/>
      <c r="BO74" s="7">
        <v>0</v>
      </c>
      <c r="BP74" s="6"/>
      <c r="BQ74" s="7">
        <f>ROUND(SUM(G74:BO74),5)</f>
        <v>4343</v>
      </c>
    </row>
    <row r="75" spans="1:69">
      <c r="A75" s="4"/>
      <c r="B75" s="4"/>
      <c r="C75" s="4"/>
      <c r="D75" s="4"/>
      <c r="E75" s="4"/>
      <c r="F75" s="4" t="s">
        <v>156</v>
      </c>
      <c r="G75" s="7">
        <v>1436.82</v>
      </c>
      <c r="H75" s="6"/>
      <c r="I75" s="7">
        <v>0</v>
      </c>
      <c r="J75" s="6"/>
      <c r="K75" s="7">
        <v>0</v>
      </c>
      <c r="L75" s="6"/>
      <c r="M75" s="7">
        <v>0</v>
      </c>
      <c r="N75" s="6"/>
      <c r="O75" s="7">
        <v>0</v>
      </c>
      <c r="P75" s="6"/>
      <c r="Q75" s="7">
        <v>0</v>
      </c>
      <c r="R75" s="6"/>
      <c r="S75" s="7">
        <v>0</v>
      </c>
      <c r="T75" s="6"/>
      <c r="U75" s="7">
        <v>0</v>
      </c>
      <c r="V75" s="6"/>
      <c r="W75" s="7">
        <v>0</v>
      </c>
      <c r="X75" s="6"/>
      <c r="Y75" s="7">
        <v>0</v>
      </c>
      <c r="Z75" s="6"/>
      <c r="AA75" s="7">
        <v>0</v>
      </c>
      <c r="AB75" s="6"/>
      <c r="AC75" s="7">
        <v>0</v>
      </c>
      <c r="AD75" s="6"/>
      <c r="AE75" s="7">
        <v>0</v>
      </c>
      <c r="AF75" s="6"/>
      <c r="AG75" s="7">
        <v>0</v>
      </c>
      <c r="AH75" s="6"/>
      <c r="AI75" s="7">
        <v>0</v>
      </c>
      <c r="AJ75" s="6"/>
      <c r="AK75" s="7">
        <v>0</v>
      </c>
      <c r="AL75" s="6"/>
      <c r="AM75" s="7">
        <v>0</v>
      </c>
      <c r="AN75" s="6"/>
      <c r="AO75" s="7">
        <v>0</v>
      </c>
      <c r="AP75" s="6"/>
      <c r="AQ75" s="7">
        <v>0</v>
      </c>
      <c r="AR75" s="6"/>
      <c r="AS75" s="7">
        <v>0</v>
      </c>
      <c r="AT75" s="6"/>
      <c r="AU75" s="7">
        <v>0</v>
      </c>
      <c r="AV75" s="6"/>
      <c r="AW75" s="7">
        <v>0</v>
      </c>
      <c r="AX75" s="6"/>
      <c r="AY75" s="7">
        <v>0</v>
      </c>
      <c r="AZ75" s="6"/>
      <c r="BA75" s="7">
        <v>1121.3900000000001</v>
      </c>
      <c r="BB75" s="6"/>
      <c r="BC75" s="7">
        <v>0</v>
      </c>
      <c r="BD75" s="6"/>
      <c r="BE75" s="7">
        <v>0</v>
      </c>
      <c r="BF75" s="6"/>
      <c r="BG75" s="7">
        <v>0</v>
      </c>
      <c r="BH75" s="6"/>
      <c r="BI75" s="7">
        <v>0</v>
      </c>
      <c r="BJ75" s="6"/>
      <c r="BK75" s="7">
        <v>0</v>
      </c>
      <c r="BL75" s="6"/>
      <c r="BM75" s="7">
        <v>0</v>
      </c>
      <c r="BN75" s="6"/>
      <c r="BO75" s="7">
        <v>1721.19</v>
      </c>
      <c r="BP75" s="6"/>
      <c r="BQ75" s="7">
        <f>ROUND(SUM(G75:BO75),5)</f>
        <v>4279.3999999999996</v>
      </c>
    </row>
    <row r="76" spans="1:69">
      <c r="A76" s="4"/>
      <c r="B76" s="4"/>
      <c r="C76" s="4"/>
      <c r="D76" s="4"/>
      <c r="E76" s="4"/>
      <c r="F76" s="4" t="s">
        <v>157</v>
      </c>
      <c r="G76" s="7">
        <v>9192.91</v>
      </c>
      <c r="H76" s="6"/>
      <c r="I76" s="7">
        <v>0</v>
      </c>
      <c r="J76" s="6"/>
      <c r="K76" s="7">
        <v>0</v>
      </c>
      <c r="L76" s="6"/>
      <c r="M76" s="7">
        <v>267.75</v>
      </c>
      <c r="N76" s="6"/>
      <c r="O76" s="7">
        <v>0</v>
      </c>
      <c r="P76" s="6"/>
      <c r="Q76" s="7">
        <v>0</v>
      </c>
      <c r="R76" s="6"/>
      <c r="S76" s="7">
        <v>0</v>
      </c>
      <c r="T76" s="6"/>
      <c r="U76" s="7">
        <v>0</v>
      </c>
      <c r="V76" s="6"/>
      <c r="W76" s="7">
        <v>0</v>
      </c>
      <c r="X76" s="6"/>
      <c r="Y76" s="7">
        <v>0</v>
      </c>
      <c r="Z76" s="6"/>
      <c r="AA76" s="7">
        <v>0</v>
      </c>
      <c r="AB76" s="6"/>
      <c r="AC76" s="7">
        <v>0</v>
      </c>
      <c r="AD76" s="6"/>
      <c r="AE76" s="7">
        <v>0</v>
      </c>
      <c r="AF76" s="6"/>
      <c r="AG76" s="7">
        <v>0</v>
      </c>
      <c r="AH76" s="6"/>
      <c r="AI76" s="7">
        <v>0</v>
      </c>
      <c r="AJ76" s="6"/>
      <c r="AK76" s="7">
        <v>0</v>
      </c>
      <c r="AL76" s="6"/>
      <c r="AM76" s="7">
        <v>0</v>
      </c>
      <c r="AN76" s="6"/>
      <c r="AO76" s="7">
        <v>0</v>
      </c>
      <c r="AP76" s="6"/>
      <c r="AQ76" s="7">
        <v>0</v>
      </c>
      <c r="AR76" s="6"/>
      <c r="AS76" s="7">
        <v>0</v>
      </c>
      <c r="AT76" s="6"/>
      <c r="AU76" s="7">
        <v>0</v>
      </c>
      <c r="AV76" s="6"/>
      <c r="AW76" s="7">
        <v>596.82000000000005</v>
      </c>
      <c r="AX76" s="6"/>
      <c r="AY76" s="7">
        <v>0</v>
      </c>
      <c r="AZ76" s="6"/>
      <c r="BA76" s="7">
        <v>597.04</v>
      </c>
      <c r="BB76" s="6"/>
      <c r="BC76" s="7">
        <v>0</v>
      </c>
      <c r="BD76" s="6"/>
      <c r="BE76" s="7">
        <v>0</v>
      </c>
      <c r="BF76" s="6"/>
      <c r="BG76" s="7">
        <v>0</v>
      </c>
      <c r="BH76" s="6"/>
      <c r="BI76" s="7">
        <v>0</v>
      </c>
      <c r="BJ76" s="6"/>
      <c r="BK76" s="7">
        <v>0</v>
      </c>
      <c r="BL76" s="6"/>
      <c r="BM76" s="7">
        <v>0</v>
      </c>
      <c r="BN76" s="6"/>
      <c r="BO76" s="7">
        <v>1491.95</v>
      </c>
      <c r="BP76" s="6"/>
      <c r="BQ76" s="7">
        <f>ROUND(SUM(G76:BO76),5)</f>
        <v>12146.47</v>
      </c>
    </row>
    <row r="77" spans="1:69">
      <c r="A77" s="4"/>
      <c r="B77" s="4"/>
      <c r="C77" s="4"/>
      <c r="D77" s="4"/>
      <c r="E77" s="4"/>
      <c r="F77" s="4" t="s">
        <v>158</v>
      </c>
      <c r="G77" s="7">
        <v>-3009.06</v>
      </c>
      <c r="H77" s="6"/>
      <c r="I77" s="7">
        <v>0</v>
      </c>
      <c r="J77" s="6"/>
      <c r="K77" s="7">
        <v>0</v>
      </c>
      <c r="L77" s="6"/>
      <c r="M77" s="7">
        <v>0</v>
      </c>
      <c r="N77" s="6"/>
      <c r="O77" s="7">
        <v>0</v>
      </c>
      <c r="P77" s="6"/>
      <c r="Q77" s="7">
        <v>0</v>
      </c>
      <c r="R77" s="6"/>
      <c r="S77" s="7">
        <v>0</v>
      </c>
      <c r="T77" s="6"/>
      <c r="U77" s="7">
        <v>0</v>
      </c>
      <c r="V77" s="6"/>
      <c r="W77" s="7">
        <v>0</v>
      </c>
      <c r="X77" s="6"/>
      <c r="Y77" s="7">
        <v>0</v>
      </c>
      <c r="Z77" s="6"/>
      <c r="AA77" s="7">
        <v>0</v>
      </c>
      <c r="AB77" s="6"/>
      <c r="AC77" s="7">
        <v>0</v>
      </c>
      <c r="AD77" s="6"/>
      <c r="AE77" s="7">
        <v>0</v>
      </c>
      <c r="AF77" s="6"/>
      <c r="AG77" s="7">
        <v>0</v>
      </c>
      <c r="AH77" s="6"/>
      <c r="AI77" s="7">
        <v>0</v>
      </c>
      <c r="AJ77" s="6"/>
      <c r="AK77" s="7">
        <v>0</v>
      </c>
      <c r="AL77" s="6"/>
      <c r="AM77" s="7">
        <v>0</v>
      </c>
      <c r="AN77" s="6"/>
      <c r="AO77" s="7">
        <v>0</v>
      </c>
      <c r="AP77" s="6"/>
      <c r="AQ77" s="7">
        <v>0</v>
      </c>
      <c r="AR77" s="6"/>
      <c r="AS77" s="7">
        <v>0</v>
      </c>
      <c r="AT77" s="6"/>
      <c r="AU77" s="7">
        <v>0</v>
      </c>
      <c r="AV77" s="6"/>
      <c r="AW77" s="7">
        <v>5336.62</v>
      </c>
      <c r="AX77" s="6"/>
      <c r="AY77" s="7">
        <v>0</v>
      </c>
      <c r="AZ77" s="6"/>
      <c r="BA77" s="7">
        <v>-1378.01</v>
      </c>
      <c r="BB77" s="6"/>
      <c r="BC77" s="7">
        <v>0</v>
      </c>
      <c r="BD77" s="6"/>
      <c r="BE77" s="7">
        <v>0</v>
      </c>
      <c r="BF77" s="6"/>
      <c r="BG77" s="7">
        <v>0</v>
      </c>
      <c r="BH77" s="6"/>
      <c r="BI77" s="7">
        <v>0</v>
      </c>
      <c r="BJ77" s="6"/>
      <c r="BK77" s="7">
        <v>0</v>
      </c>
      <c r="BL77" s="6"/>
      <c r="BM77" s="7">
        <v>0</v>
      </c>
      <c r="BN77" s="6"/>
      <c r="BO77" s="7">
        <v>0</v>
      </c>
      <c r="BP77" s="6"/>
      <c r="BQ77" s="7">
        <f>ROUND(SUM(G77:BO77),5)</f>
        <v>949.55</v>
      </c>
    </row>
    <row r="78" spans="1:69">
      <c r="A78" s="4"/>
      <c r="B78" s="4"/>
      <c r="C78" s="4"/>
      <c r="D78" s="4"/>
      <c r="E78" s="4"/>
      <c r="F78" s="4" t="s">
        <v>159</v>
      </c>
      <c r="G78" s="7">
        <v>0.01</v>
      </c>
      <c r="H78" s="6"/>
      <c r="I78" s="7">
        <v>0</v>
      </c>
      <c r="J78" s="6"/>
      <c r="K78" s="7">
        <v>0</v>
      </c>
      <c r="L78" s="6"/>
      <c r="M78" s="7">
        <v>0</v>
      </c>
      <c r="N78" s="6"/>
      <c r="O78" s="7">
        <v>0</v>
      </c>
      <c r="P78" s="6"/>
      <c r="Q78" s="7">
        <v>0</v>
      </c>
      <c r="R78" s="6"/>
      <c r="S78" s="7">
        <v>0</v>
      </c>
      <c r="T78" s="6"/>
      <c r="U78" s="7">
        <v>0</v>
      </c>
      <c r="V78" s="6"/>
      <c r="W78" s="7">
        <v>0</v>
      </c>
      <c r="X78" s="6"/>
      <c r="Y78" s="7">
        <v>0</v>
      </c>
      <c r="Z78" s="6"/>
      <c r="AA78" s="7">
        <v>0</v>
      </c>
      <c r="AB78" s="6"/>
      <c r="AC78" s="7">
        <v>0</v>
      </c>
      <c r="AD78" s="6"/>
      <c r="AE78" s="7">
        <v>0</v>
      </c>
      <c r="AF78" s="6"/>
      <c r="AG78" s="7">
        <v>0</v>
      </c>
      <c r="AH78" s="6"/>
      <c r="AI78" s="7">
        <v>0</v>
      </c>
      <c r="AJ78" s="6"/>
      <c r="AK78" s="7">
        <v>0</v>
      </c>
      <c r="AL78" s="6"/>
      <c r="AM78" s="7">
        <v>0</v>
      </c>
      <c r="AN78" s="6"/>
      <c r="AO78" s="7">
        <v>0</v>
      </c>
      <c r="AP78" s="6"/>
      <c r="AQ78" s="7">
        <v>0</v>
      </c>
      <c r="AR78" s="6"/>
      <c r="AS78" s="7">
        <v>0</v>
      </c>
      <c r="AT78" s="6"/>
      <c r="AU78" s="7">
        <v>0</v>
      </c>
      <c r="AV78" s="6"/>
      <c r="AW78" s="7">
        <v>0</v>
      </c>
      <c r="AX78" s="6"/>
      <c r="AY78" s="7">
        <v>0</v>
      </c>
      <c r="AZ78" s="6"/>
      <c r="BA78" s="7">
        <v>0</v>
      </c>
      <c r="BB78" s="6"/>
      <c r="BC78" s="7">
        <v>0</v>
      </c>
      <c r="BD78" s="6"/>
      <c r="BE78" s="7">
        <v>0</v>
      </c>
      <c r="BF78" s="6"/>
      <c r="BG78" s="7">
        <v>0</v>
      </c>
      <c r="BH78" s="6"/>
      <c r="BI78" s="7">
        <v>0</v>
      </c>
      <c r="BJ78" s="6"/>
      <c r="BK78" s="7">
        <v>0</v>
      </c>
      <c r="BL78" s="6"/>
      <c r="BM78" s="7">
        <v>0</v>
      </c>
      <c r="BN78" s="6"/>
      <c r="BO78" s="7">
        <v>0</v>
      </c>
      <c r="BP78" s="6"/>
      <c r="BQ78" s="7">
        <f>ROUND(SUM(G78:BO78),5)</f>
        <v>0.01</v>
      </c>
    </row>
    <row r="79" spans="1:69">
      <c r="A79" s="4"/>
      <c r="B79" s="4"/>
      <c r="C79" s="4"/>
      <c r="D79" s="4"/>
      <c r="E79" s="4"/>
      <c r="F79" s="4" t="s">
        <v>160</v>
      </c>
      <c r="G79" s="7">
        <v>746.91</v>
      </c>
      <c r="H79" s="6"/>
      <c r="I79" s="7">
        <v>0</v>
      </c>
      <c r="J79" s="6"/>
      <c r="K79" s="7">
        <v>0</v>
      </c>
      <c r="L79" s="6"/>
      <c r="M79" s="7">
        <v>0</v>
      </c>
      <c r="N79" s="6"/>
      <c r="O79" s="7">
        <v>0</v>
      </c>
      <c r="P79" s="6"/>
      <c r="Q79" s="7">
        <v>0</v>
      </c>
      <c r="R79" s="6"/>
      <c r="S79" s="7">
        <v>0</v>
      </c>
      <c r="T79" s="6"/>
      <c r="U79" s="7">
        <v>0</v>
      </c>
      <c r="V79" s="6"/>
      <c r="W79" s="7">
        <v>0</v>
      </c>
      <c r="X79" s="6"/>
      <c r="Y79" s="7">
        <v>0</v>
      </c>
      <c r="Z79" s="6"/>
      <c r="AA79" s="7">
        <v>0</v>
      </c>
      <c r="AB79" s="6"/>
      <c r="AC79" s="7">
        <v>0</v>
      </c>
      <c r="AD79" s="6"/>
      <c r="AE79" s="7">
        <v>0</v>
      </c>
      <c r="AF79" s="6"/>
      <c r="AG79" s="7">
        <v>0</v>
      </c>
      <c r="AH79" s="6"/>
      <c r="AI79" s="7">
        <v>0</v>
      </c>
      <c r="AJ79" s="6"/>
      <c r="AK79" s="7">
        <v>0</v>
      </c>
      <c r="AL79" s="6"/>
      <c r="AM79" s="7">
        <v>0</v>
      </c>
      <c r="AN79" s="6"/>
      <c r="AO79" s="7">
        <v>0</v>
      </c>
      <c r="AP79" s="6"/>
      <c r="AQ79" s="7">
        <v>0</v>
      </c>
      <c r="AR79" s="6"/>
      <c r="AS79" s="7">
        <v>0</v>
      </c>
      <c r="AT79" s="6"/>
      <c r="AU79" s="7">
        <v>0</v>
      </c>
      <c r="AV79" s="6"/>
      <c r="AW79" s="7">
        <v>0</v>
      </c>
      <c r="AX79" s="6"/>
      <c r="AY79" s="7">
        <v>0</v>
      </c>
      <c r="AZ79" s="6"/>
      <c r="BA79" s="7">
        <v>0</v>
      </c>
      <c r="BB79" s="6"/>
      <c r="BC79" s="7">
        <v>0</v>
      </c>
      <c r="BD79" s="6"/>
      <c r="BE79" s="7">
        <v>0</v>
      </c>
      <c r="BF79" s="6"/>
      <c r="BG79" s="7">
        <v>0</v>
      </c>
      <c r="BH79" s="6"/>
      <c r="BI79" s="7">
        <v>0</v>
      </c>
      <c r="BJ79" s="6"/>
      <c r="BK79" s="7">
        <v>0</v>
      </c>
      <c r="BL79" s="6"/>
      <c r="BM79" s="7">
        <v>0</v>
      </c>
      <c r="BN79" s="6"/>
      <c r="BO79" s="7">
        <v>0</v>
      </c>
      <c r="BP79" s="6"/>
      <c r="BQ79" s="7">
        <f>ROUND(SUM(G79:BO79),5)</f>
        <v>746.91</v>
      </c>
    </row>
    <row r="80" spans="1:69" ht="15.75" thickBot="1">
      <c r="A80" s="4"/>
      <c r="B80" s="4"/>
      <c r="C80" s="4"/>
      <c r="D80" s="4"/>
      <c r="E80" s="4"/>
      <c r="F80" s="4" t="s">
        <v>161</v>
      </c>
      <c r="G80" s="9">
        <v>54010.239999999998</v>
      </c>
      <c r="H80" s="6"/>
      <c r="I80" s="9">
        <v>0</v>
      </c>
      <c r="J80" s="6"/>
      <c r="K80" s="9">
        <v>0</v>
      </c>
      <c r="L80" s="6"/>
      <c r="M80" s="9">
        <v>0</v>
      </c>
      <c r="N80" s="6"/>
      <c r="O80" s="9">
        <v>0</v>
      </c>
      <c r="P80" s="6"/>
      <c r="Q80" s="9">
        <v>0</v>
      </c>
      <c r="R80" s="6"/>
      <c r="S80" s="9">
        <v>0</v>
      </c>
      <c r="T80" s="6"/>
      <c r="U80" s="9">
        <v>0</v>
      </c>
      <c r="V80" s="6"/>
      <c r="W80" s="9">
        <v>0</v>
      </c>
      <c r="X80" s="6"/>
      <c r="Y80" s="9">
        <v>0</v>
      </c>
      <c r="Z80" s="6"/>
      <c r="AA80" s="9">
        <v>0</v>
      </c>
      <c r="AB80" s="6"/>
      <c r="AC80" s="9">
        <v>0</v>
      </c>
      <c r="AD80" s="6"/>
      <c r="AE80" s="9">
        <v>0</v>
      </c>
      <c r="AF80" s="6"/>
      <c r="AG80" s="9">
        <v>0</v>
      </c>
      <c r="AH80" s="6"/>
      <c r="AI80" s="9">
        <v>0</v>
      </c>
      <c r="AJ80" s="6"/>
      <c r="AK80" s="9">
        <v>0</v>
      </c>
      <c r="AL80" s="6"/>
      <c r="AM80" s="9">
        <v>0</v>
      </c>
      <c r="AN80" s="6"/>
      <c r="AO80" s="9">
        <v>0</v>
      </c>
      <c r="AP80" s="6"/>
      <c r="AQ80" s="9">
        <v>0</v>
      </c>
      <c r="AR80" s="6"/>
      <c r="AS80" s="9">
        <v>0</v>
      </c>
      <c r="AT80" s="6"/>
      <c r="AU80" s="9">
        <v>0</v>
      </c>
      <c r="AV80" s="6"/>
      <c r="AW80" s="9">
        <v>0</v>
      </c>
      <c r="AX80" s="6"/>
      <c r="AY80" s="9">
        <v>0</v>
      </c>
      <c r="AZ80" s="6"/>
      <c r="BA80" s="9">
        <v>6666.66</v>
      </c>
      <c r="BB80" s="6"/>
      <c r="BC80" s="9">
        <v>0</v>
      </c>
      <c r="BD80" s="6"/>
      <c r="BE80" s="9">
        <v>0</v>
      </c>
      <c r="BF80" s="6"/>
      <c r="BG80" s="9">
        <v>0</v>
      </c>
      <c r="BH80" s="6"/>
      <c r="BI80" s="9">
        <v>0</v>
      </c>
      <c r="BJ80" s="6"/>
      <c r="BK80" s="9">
        <v>0</v>
      </c>
      <c r="BL80" s="6"/>
      <c r="BM80" s="9">
        <v>0</v>
      </c>
      <c r="BN80" s="6"/>
      <c r="BO80" s="9">
        <v>0</v>
      </c>
      <c r="BP80" s="6"/>
      <c r="BQ80" s="9">
        <f>ROUND(SUM(G80:BO80),5)</f>
        <v>60676.9</v>
      </c>
    </row>
    <row r="81" spans="1:69">
      <c r="A81" s="4"/>
      <c r="B81" s="4"/>
      <c r="C81" s="4"/>
      <c r="D81" s="4"/>
      <c r="E81" s="4" t="s">
        <v>162</v>
      </c>
      <c r="F81" s="4"/>
      <c r="G81" s="7">
        <f>ROUND(SUM(G71:G80),5)</f>
        <v>111584.02</v>
      </c>
      <c r="H81" s="6"/>
      <c r="I81" s="7">
        <f>ROUND(SUM(I71:I80),5)</f>
        <v>0</v>
      </c>
      <c r="J81" s="6"/>
      <c r="K81" s="7">
        <f>ROUND(SUM(K71:K80),5)</f>
        <v>0</v>
      </c>
      <c r="L81" s="6"/>
      <c r="M81" s="7">
        <f>ROUND(SUM(M71:M80),5)</f>
        <v>3767.75</v>
      </c>
      <c r="N81" s="6"/>
      <c r="O81" s="7">
        <f>ROUND(SUM(O71:O80),5)</f>
        <v>0</v>
      </c>
      <c r="P81" s="6"/>
      <c r="Q81" s="7">
        <f>ROUND(SUM(Q71:Q80),5)</f>
        <v>0</v>
      </c>
      <c r="R81" s="6"/>
      <c r="S81" s="7">
        <f>ROUND(SUM(S71:S80),5)</f>
        <v>0</v>
      </c>
      <c r="T81" s="6"/>
      <c r="U81" s="7">
        <f>ROUND(SUM(U71:U80),5)</f>
        <v>0</v>
      </c>
      <c r="V81" s="6"/>
      <c r="W81" s="7">
        <f>ROUND(SUM(W71:W80),5)</f>
        <v>0</v>
      </c>
      <c r="X81" s="6"/>
      <c r="Y81" s="7">
        <f>ROUND(SUM(Y71:Y80),5)</f>
        <v>0</v>
      </c>
      <c r="Z81" s="6"/>
      <c r="AA81" s="7">
        <f>ROUND(SUM(AA71:AA80),5)</f>
        <v>0</v>
      </c>
      <c r="AB81" s="6"/>
      <c r="AC81" s="7">
        <f>ROUND(SUM(AC71:AC80),5)</f>
        <v>0</v>
      </c>
      <c r="AD81" s="6"/>
      <c r="AE81" s="7">
        <f>ROUND(SUM(AE71:AE80),5)</f>
        <v>0</v>
      </c>
      <c r="AF81" s="6"/>
      <c r="AG81" s="7">
        <f>ROUND(SUM(AG71:AG80),5)</f>
        <v>0</v>
      </c>
      <c r="AH81" s="6"/>
      <c r="AI81" s="7">
        <f>ROUND(SUM(AI71:AI80),5)</f>
        <v>0</v>
      </c>
      <c r="AJ81" s="6"/>
      <c r="AK81" s="7">
        <f>ROUND(SUM(AK71:AK80),5)</f>
        <v>0</v>
      </c>
      <c r="AL81" s="6"/>
      <c r="AM81" s="7">
        <f>ROUND(SUM(AM71:AM80),5)</f>
        <v>0</v>
      </c>
      <c r="AN81" s="6"/>
      <c r="AO81" s="7">
        <f>ROUND(SUM(AO71:AO80),5)</f>
        <v>0</v>
      </c>
      <c r="AP81" s="6"/>
      <c r="AQ81" s="7">
        <f>ROUND(SUM(AQ71:AQ80),5)</f>
        <v>0</v>
      </c>
      <c r="AR81" s="6"/>
      <c r="AS81" s="7">
        <f>ROUND(SUM(AS71:AS80),5)</f>
        <v>0</v>
      </c>
      <c r="AT81" s="6"/>
      <c r="AU81" s="7">
        <f>ROUND(SUM(AU71:AU80),5)</f>
        <v>0</v>
      </c>
      <c r="AV81" s="6"/>
      <c r="AW81" s="7">
        <f>ROUND(SUM(AW71:AW80),5)</f>
        <v>12208.88</v>
      </c>
      <c r="AX81" s="6"/>
      <c r="AY81" s="7">
        <f>ROUND(SUM(AY71:AY80),5)</f>
        <v>95885.2</v>
      </c>
      <c r="AZ81" s="6"/>
      <c r="BA81" s="7">
        <f>ROUND(SUM(BA71:BA80),5)</f>
        <v>26172.22</v>
      </c>
      <c r="BB81" s="6"/>
      <c r="BC81" s="7">
        <f>ROUND(SUM(BC71:BC80),5)</f>
        <v>0</v>
      </c>
      <c r="BD81" s="6"/>
      <c r="BE81" s="7">
        <f>ROUND(SUM(BE71:BE80),5)</f>
        <v>0</v>
      </c>
      <c r="BF81" s="6"/>
      <c r="BG81" s="7">
        <f>ROUND(SUM(BG71:BG80),5)</f>
        <v>0</v>
      </c>
      <c r="BH81" s="6"/>
      <c r="BI81" s="7">
        <f>ROUND(SUM(BI71:BI80),5)</f>
        <v>0</v>
      </c>
      <c r="BJ81" s="6"/>
      <c r="BK81" s="7">
        <f>ROUND(SUM(BK71:BK80),5)</f>
        <v>0</v>
      </c>
      <c r="BL81" s="6"/>
      <c r="BM81" s="7">
        <f>ROUND(SUM(BM71:BM80),5)</f>
        <v>0</v>
      </c>
      <c r="BN81" s="6"/>
      <c r="BO81" s="7">
        <f>ROUND(SUM(BO71:BO80),5)</f>
        <v>45217.35</v>
      </c>
      <c r="BP81" s="6"/>
      <c r="BQ81" s="7">
        <f>ROUND(SUM(G81:BO81),5)</f>
        <v>294835.42</v>
      </c>
    </row>
    <row r="82" spans="1:69">
      <c r="A82" s="4"/>
      <c r="B82" s="4"/>
      <c r="C82" s="4"/>
      <c r="D82" s="4"/>
      <c r="E82" s="4" t="s">
        <v>163</v>
      </c>
      <c r="F82" s="4"/>
      <c r="G82" s="7"/>
      <c r="H82" s="6"/>
      <c r="I82" s="7"/>
      <c r="J82" s="6"/>
      <c r="K82" s="7"/>
      <c r="L82" s="6"/>
      <c r="M82" s="7"/>
      <c r="N82" s="6"/>
      <c r="O82" s="7"/>
      <c r="P82" s="6"/>
      <c r="Q82" s="7"/>
      <c r="R82" s="6"/>
      <c r="S82" s="7"/>
      <c r="T82" s="6"/>
      <c r="U82" s="7"/>
      <c r="V82" s="6"/>
      <c r="W82" s="7"/>
      <c r="X82" s="6"/>
      <c r="Y82" s="7"/>
      <c r="Z82" s="6"/>
      <c r="AA82" s="7"/>
      <c r="AB82" s="6"/>
      <c r="AC82" s="7"/>
      <c r="AD82" s="6"/>
      <c r="AE82" s="7"/>
      <c r="AF82" s="6"/>
      <c r="AG82" s="7"/>
      <c r="AH82" s="6"/>
      <c r="AI82" s="7"/>
      <c r="AJ82" s="6"/>
      <c r="AK82" s="7"/>
      <c r="AL82" s="6"/>
      <c r="AM82" s="7"/>
      <c r="AN82" s="6"/>
      <c r="AO82" s="7"/>
      <c r="AP82" s="6"/>
      <c r="AQ82" s="7"/>
      <c r="AR82" s="6"/>
      <c r="AS82" s="7"/>
      <c r="AT82" s="6"/>
      <c r="AU82" s="7"/>
      <c r="AV82" s="6"/>
      <c r="AW82" s="7"/>
      <c r="AX82" s="6"/>
      <c r="AY82" s="7"/>
      <c r="AZ82" s="6"/>
      <c r="BA82" s="7"/>
      <c r="BB82" s="6"/>
      <c r="BC82" s="7"/>
      <c r="BD82" s="6"/>
      <c r="BE82" s="7"/>
      <c r="BF82" s="6"/>
      <c r="BG82" s="7"/>
      <c r="BH82" s="6"/>
      <c r="BI82" s="7"/>
      <c r="BJ82" s="6"/>
      <c r="BK82" s="7"/>
      <c r="BL82" s="6"/>
      <c r="BM82" s="7"/>
      <c r="BN82" s="6"/>
      <c r="BO82" s="7"/>
      <c r="BP82" s="6"/>
      <c r="BQ82" s="7"/>
    </row>
    <row r="83" spans="1:69" ht="15.75" thickBot="1">
      <c r="A83" s="4"/>
      <c r="B83" s="4"/>
      <c r="C83" s="4"/>
      <c r="D83" s="4"/>
      <c r="E83" s="4"/>
      <c r="F83" s="4" t="s">
        <v>164</v>
      </c>
      <c r="G83" s="9">
        <v>71415.990000000005</v>
      </c>
      <c r="H83" s="6"/>
      <c r="I83" s="9">
        <v>0</v>
      </c>
      <c r="J83" s="6"/>
      <c r="K83" s="9">
        <v>0</v>
      </c>
      <c r="L83" s="6"/>
      <c r="M83" s="9">
        <v>0</v>
      </c>
      <c r="N83" s="6"/>
      <c r="O83" s="9">
        <v>0</v>
      </c>
      <c r="P83" s="6"/>
      <c r="Q83" s="9">
        <v>0</v>
      </c>
      <c r="R83" s="6"/>
      <c r="S83" s="9">
        <v>0</v>
      </c>
      <c r="T83" s="6"/>
      <c r="U83" s="9">
        <v>0</v>
      </c>
      <c r="V83" s="6"/>
      <c r="W83" s="9">
        <v>0</v>
      </c>
      <c r="X83" s="6"/>
      <c r="Y83" s="9">
        <v>0</v>
      </c>
      <c r="Z83" s="6"/>
      <c r="AA83" s="9">
        <v>0</v>
      </c>
      <c r="AB83" s="6"/>
      <c r="AC83" s="9">
        <v>0</v>
      </c>
      <c r="AD83" s="6"/>
      <c r="AE83" s="9">
        <v>0</v>
      </c>
      <c r="AF83" s="6"/>
      <c r="AG83" s="9">
        <v>0</v>
      </c>
      <c r="AH83" s="6"/>
      <c r="AI83" s="9">
        <v>0</v>
      </c>
      <c r="AJ83" s="6"/>
      <c r="AK83" s="9">
        <v>0</v>
      </c>
      <c r="AL83" s="6"/>
      <c r="AM83" s="9">
        <v>0</v>
      </c>
      <c r="AN83" s="6"/>
      <c r="AO83" s="9">
        <v>0</v>
      </c>
      <c r="AP83" s="6"/>
      <c r="AQ83" s="9">
        <v>0</v>
      </c>
      <c r="AR83" s="6"/>
      <c r="AS83" s="9">
        <v>0</v>
      </c>
      <c r="AT83" s="6"/>
      <c r="AU83" s="9">
        <v>0</v>
      </c>
      <c r="AV83" s="6"/>
      <c r="AW83" s="9">
        <v>0</v>
      </c>
      <c r="AX83" s="6"/>
      <c r="AY83" s="9">
        <v>0</v>
      </c>
      <c r="AZ83" s="6"/>
      <c r="BA83" s="9">
        <v>0</v>
      </c>
      <c r="BB83" s="6"/>
      <c r="BC83" s="9">
        <v>0</v>
      </c>
      <c r="BD83" s="6"/>
      <c r="BE83" s="9">
        <v>0</v>
      </c>
      <c r="BF83" s="6"/>
      <c r="BG83" s="9">
        <v>0</v>
      </c>
      <c r="BH83" s="6"/>
      <c r="BI83" s="9">
        <v>0</v>
      </c>
      <c r="BJ83" s="6"/>
      <c r="BK83" s="9">
        <v>0</v>
      </c>
      <c r="BL83" s="6"/>
      <c r="BM83" s="9">
        <v>0</v>
      </c>
      <c r="BN83" s="6"/>
      <c r="BO83" s="9">
        <v>0</v>
      </c>
      <c r="BP83" s="6"/>
      <c r="BQ83" s="9">
        <f>ROUND(SUM(G83:BO83),5)</f>
        <v>71415.990000000005</v>
      </c>
    </row>
    <row r="84" spans="1:69">
      <c r="A84" s="4"/>
      <c r="B84" s="4"/>
      <c r="C84" s="4"/>
      <c r="D84" s="4"/>
      <c r="E84" s="4" t="s">
        <v>165</v>
      </c>
      <c r="F84" s="4"/>
      <c r="G84" s="7">
        <f>ROUND(SUM(G82:G83),5)</f>
        <v>71415.990000000005</v>
      </c>
      <c r="H84" s="6"/>
      <c r="I84" s="7">
        <f>ROUND(SUM(I82:I83),5)</f>
        <v>0</v>
      </c>
      <c r="J84" s="6"/>
      <c r="K84" s="7">
        <f>ROUND(SUM(K82:K83),5)</f>
        <v>0</v>
      </c>
      <c r="L84" s="6"/>
      <c r="M84" s="7">
        <f>ROUND(SUM(M82:M83),5)</f>
        <v>0</v>
      </c>
      <c r="N84" s="6"/>
      <c r="O84" s="7">
        <f>ROUND(SUM(O82:O83),5)</f>
        <v>0</v>
      </c>
      <c r="P84" s="6"/>
      <c r="Q84" s="7">
        <f>ROUND(SUM(Q82:Q83),5)</f>
        <v>0</v>
      </c>
      <c r="R84" s="6"/>
      <c r="S84" s="7">
        <f>ROUND(SUM(S82:S83),5)</f>
        <v>0</v>
      </c>
      <c r="T84" s="6"/>
      <c r="U84" s="7">
        <f>ROUND(SUM(U82:U83),5)</f>
        <v>0</v>
      </c>
      <c r="V84" s="6"/>
      <c r="W84" s="7">
        <f>ROUND(SUM(W82:W83),5)</f>
        <v>0</v>
      </c>
      <c r="X84" s="6"/>
      <c r="Y84" s="7">
        <f>ROUND(SUM(Y82:Y83),5)</f>
        <v>0</v>
      </c>
      <c r="Z84" s="6"/>
      <c r="AA84" s="7">
        <f>ROUND(SUM(AA82:AA83),5)</f>
        <v>0</v>
      </c>
      <c r="AB84" s="6"/>
      <c r="AC84" s="7">
        <f>ROUND(SUM(AC82:AC83),5)</f>
        <v>0</v>
      </c>
      <c r="AD84" s="6"/>
      <c r="AE84" s="7">
        <f>ROUND(SUM(AE82:AE83),5)</f>
        <v>0</v>
      </c>
      <c r="AF84" s="6"/>
      <c r="AG84" s="7">
        <f>ROUND(SUM(AG82:AG83),5)</f>
        <v>0</v>
      </c>
      <c r="AH84" s="6"/>
      <c r="AI84" s="7">
        <f>ROUND(SUM(AI82:AI83),5)</f>
        <v>0</v>
      </c>
      <c r="AJ84" s="6"/>
      <c r="AK84" s="7">
        <f>ROUND(SUM(AK82:AK83),5)</f>
        <v>0</v>
      </c>
      <c r="AL84" s="6"/>
      <c r="AM84" s="7">
        <f>ROUND(SUM(AM82:AM83),5)</f>
        <v>0</v>
      </c>
      <c r="AN84" s="6"/>
      <c r="AO84" s="7">
        <f>ROUND(SUM(AO82:AO83),5)</f>
        <v>0</v>
      </c>
      <c r="AP84" s="6"/>
      <c r="AQ84" s="7">
        <f>ROUND(SUM(AQ82:AQ83),5)</f>
        <v>0</v>
      </c>
      <c r="AR84" s="6"/>
      <c r="AS84" s="7">
        <f>ROUND(SUM(AS82:AS83),5)</f>
        <v>0</v>
      </c>
      <c r="AT84" s="6"/>
      <c r="AU84" s="7">
        <f>ROUND(SUM(AU82:AU83),5)</f>
        <v>0</v>
      </c>
      <c r="AV84" s="6"/>
      <c r="AW84" s="7">
        <f>ROUND(SUM(AW82:AW83),5)</f>
        <v>0</v>
      </c>
      <c r="AX84" s="6"/>
      <c r="AY84" s="7">
        <f>ROUND(SUM(AY82:AY83),5)</f>
        <v>0</v>
      </c>
      <c r="AZ84" s="6"/>
      <c r="BA84" s="7">
        <f>ROUND(SUM(BA82:BA83),5)</f>
        <v>0</v>
      </c>
      <c r="BB84" s="6"/>
      <c r="BC84" s="7">
        <f>ROUND(SUM(BC82:BC83),5)</f>
        <v>0</v>
      </c>
      <c r="BD84" s="6"/>
      <c r="BE84" s="7">
        <f>ROUND(SUM(BE82:BE83),5)</f>
        <v>0</v>
      </c>
      <c r="BF84" s="6"/>
      <c r="BG84" s="7">
        <f>ROUND(SUM(BG82:BG83),5)</f>
        <v>0</v>
      </c>
      <c r="BH84" s="6"/>
      <c r="BI84" s="7">
        <f>ROUND(SUM(BI82:BI83),5)</f>
        <v>0</v>
      </c>
      <c r="BJ84" s="6"/>
      <c r="BK84" s="7">
        <f>ROUND(SUM(BK82:BK83),5)</f>
        <v>0</v>
      </c>
      <c r="BL84" s="6"/>
      <c r="BM84" s="7">
        <f>ROUND(SUM(BM82:BM83),5)</f>
        <v>0</v>
      </c>
      <c r="BN84" s="6"/>
      <c r="BO84" s="7">
        <f>ROUND(SUM(BO82:BO83),5)</f>
        <v>0</v>
      </c>
      <c r="BP84" s="6"/>
      <c r="BQ84" s="7">
        <f>ROUND(SUM(G84:BO84),5)</f>
        <v>71415.990000000005</v>
      </c>
    </row>
    <row r="85" spans="1:69">
      <c r="A85" s="4"/>
      <c r="B85" s="4"/>
      <c r="C85" s="4"/>
      <c r="D85" s="4"/>
      <c r="E85" s="4" t="s">
        <v>166</v>
      </c>
      <c r="F85" s="4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  <c r="R85" s="6"/>
      <c r="S85" s="7"/>
      <c r="T85" s="6"/>
      <c r="U85" s="7"/>
      <c r="V85" s="6"/>
      <c r="W85" s="7"/>
      <c r="X85" s="6"/>
      <c r="Y85" s="7"/>
      <c r="Z85" s="6"/>
      <c r="AA85" s="7"/>
      <c r="AB85" s="6"/>
      <c r="AC85" s="7"/>
      <c r="AD85" s="6"/>
      <c r="AE85" s="7"/>
      <c r="AF85" s="6"/>
      <c r="AG85" s="7"/>
      <c r="AH85" s="6"/>
      <c r="AI85" s="7"/>
      <c r="AJ85" s="6"/>
      <c r="AK85" s="7"/>
      <c r="AL85" s="6"/>
      <c r="AM85" s="7"/>
      <c r="AN85" s="6"/>
      <c r="AO85" s="7"/>
      <c r="AP85" s="6"/>
      <c r="AQ85" s="7"/>
      <c r="AR85" s="6"/>
      <c r="AS85" s="7"/>
      <c r="AT85" s="6"/>
      <c r="AU85" s="7"/>
      <c r="AV85" s="6"/>
      <c r="AW85" s="7"/>
      <c r="AX85" s="6"/>
      <c r="AY85" s="7"/>
      <c r="AZ85" s="6"/>
      <c r="BA85" s="7"/>
      <c r="BB85" s="6"/>
      <c r="BC85" s="7"/>
      <c r="BD85" s="6"/>
      <c r="BE85" s="7"/>
      <c r="BF85" s="6"/>
      <c r="BG85" s="7"/>
      <c r="BH85" s="6"/>
      <c r="BI85" s="7"/>
      <c r="BJ85" s="6"/>
      <c r="BK85" s="7"/>
      <c r="BL85" s="6"/>
      <c r="BM85" s="7"/>
      <c r="BN85" s="6"/>
      <c r="BO85" s="7"/>
      <c r="BP85" s="6"/>
      <c r="BQ85" s="7"/>
    </row>
    <row r="86" spans="1:69">
      <c r="A86" s="4"/>
      <c r="B86" s="4"/>
      <c r="C86" s="4"/>
      <c r="D86" s="4"/>
      <c r="E86" s="4"/>
      <c r="F86" s="4" t="s">
        <v>167</v>
      </c>
      <c r="G86" s="7">
        <v>-68036.22</v>
      </c>
      <c r="H86" s="6"/>
      <c r="I86" s="7">
        <v>0</v>
      </c>
      <c r="J86" s="6"/>
      <c r="K86" s="7">
        <v>0</v>
      </c>
      <c r="L86" s="6"/>
      <c r="M86" s="7">
        <v>3600</v>
      </c>
      <c r="N86" s="6"/>
      <c r="O86" s="7">
        <v>0</v>
      </c>
      <c r="P86" s="6"/>
      <c r="Q86" s="7">
        <v>0</v>
      </c>
      <c r="R86" s="6"/>
      <c r="S86" s="7">
        <v>0</v>
      </c>
      <c r="T86" s="6"/>
      <c r="U86" s="7">
        <v>0</v>
      </c>
      <c r="V86" s="6"/>
      <c r="W86" s="7">
        <v>0</v>
      </c>
      <c r="X86" s="6"/>
      <c r="Y86" s="7">
        <v>0</v>
      </c>
      <c r="Z86" s="6"/>
      <c r="AA86" s="7">
        <v>0</v>
      </c>
      <c r="AB86" s="6"/>
      <c r="AC86" s="7">
        <v>0</v>
      </c>
      <c r="AD86" s="6"/>
      <c r="AE86" s="7">
        <v>0</v>
      </c>
      <c r="AF86" s="6"/>
      <c r="AG86" s="7">
        <v>0</v>
      </c>
      <c r="AH86" s="6"/>
      <c r="AI86" s="7">
        <v>0</v>
      </c>
      <c r="AJ86" s="6"/>
      <c r="AK86" s="7">
        <v>0</v>
      </c>
      <c r="AL86" s="6"/>
      <c r="AM86" s="7">
        <v>0</v>
      </c>
      <c r="AN86" s="6"/>
      <c r="AO86" s="7">
        <v>0</v>
      </c>
      <c r="AP86" s="6"/>
      <c r="AQ86" s="7">
        <v>0</v>
      </c>
      <c r="AR86" s="6"/>
      <c r="AS86" s="7">
        <v>0</v>
      </c>
      <c r="AT86" s="6"/>
      <c r="AU86" s="7">
        <v>0</v>
      </c>
      <c r="AV86" s="6"/>
      <c r="AW86" s="7">
        <v>0</v>
      </c>
      <c r="AX86" s="6"/>
      <c r="AY86" s="7">
        <v>0</v>
      </c>
      <c r="AZ86" s="6"/>
      <c r="BA86" s="7">
        <v>0</v>
      </c>
      <c r="BB86" s="6"/>
      <c r="BC86" s="7">
        <v>0</v>
      </c>
      <c r="BD86" s="6"/>
      <c r="BE86" s="7">
        <v>0</v>
      </c>
      <c r="BF86" s="6"/>
      <c r="BG86" s="7">
        <v>0</v>
      </c>
      <c r="BH86" s="6"/>
      <c r="BI86" s="7">
        <v>0</v>
      </c>
      <c r="BJ86" s="6"/>
      <c r="BK86" s="7">
        <v>0</v>
      </c>
      <c r="BL86" s="6"/>
      <c r="BM86" s="7">
        <v>0</v>
      </c>
      <c r="BN86" s="6"/>
      <c r="BO86" s="7">
        <v>68036.22</v>
      </c>
      <c r="BP86" s="6"/>
      <c r="BQ86" s="7">
        <f>ROUND(SUM(G86:BO86),5)</f>
        <v>3600</v>
      </c>
    </row>
    <row r="87" spans="1:69">
      <c r="A87" s="4"/>
      <c r="B87" s="4"/>
      <c r="C87" s="4"/>
      <c r="D87" s="4"/>
      <c r="E87" s="4"/>
      <c r="F87" s="4" t="s">
        <v>168</v>
      </c>
      <c r="G87" s="7">
        <v>102715.6</v>
      </c>
      <c r="H87" s="6"/>
      <c r="I87" s="7">
        <v>0</v>
      </c>
      <c r="J87" s="6"/>
      <c r="K87" s="7">
        <v>0</v>
      </c>
      <c r="L87" s="6"/>
      <c r="M87" s="7">
        <v>2520</v>
      </c>
      <c r="N87" s="6"/>
      <c r="O87" s="7">
        <v>0</v>
      </c>
      <c r="P87" s="6"/>
      <c r="Q87" s="7">
        <v>0</v>
      </c>
      <c r="R87" s="6"/>
      <c r="S87" s="7">
        <v>0</v>
      </c>
      <c r="T87" s="6"/>
      <c r="U87" s="7">
        <v>0</v>
      </c>
      <c r="V87" s="6"/>
      <c r="W87" s="7">
        <v>0</v>
      </c>
      <c r="X87" s="6"/>
      <c r="Y87" s="7">
        <v>0</v>
      </c>
      <c r="Z87" s="6"/>
      <c r="AA87" s="7">
        <v>0</v>
      </c>
      <c r="AB87" s="6"/>
      <c r="AC87" s="7">
        <v>0</v>
      </c>
      <c r="AD87" s="6"/>
      <c r="AE87" s="7">
        <v>0</v>
      </c>
      <c r="AF87" s="6"/>
      <c r="AG87" s="7">
        <v>0</v>
      </c>
      <c r="AH87" s="6"/>
      <c r="AI87" s="7">
        <v>0</v>
      </c>
      <c r="AJ87" s="6"/>
      <c r="AK87" s="7">
        <v>0</v>
      </c>
      <c r="AL87" s="6"/>
      <c r="AM87" s="7">
        <v>0</v>
      </c>
      <c r="AN87" s="6"/>
      <c r="AO87" s="7">
        <v>0</v>
      </c>
      <c r="AP87" s="6"/>
      <c r="AQ87" s="7">
        <v>0</v>
      </c>
      <c r="AR87" s="6"/>
      <c r="AS87" s="7">
        <v>5000</v>
      </c>
      <c r="AT87" s="6"/>
      <c r="AU87" s="7">
        <v>0</v>
      </c>
      <c r="AV87" s="6"/>
      <c r="AW87" s="7">
        <v>0</v>
      </c>
      <c r="AX87" s="6"/>
      <c r="AY87" s="7">
        <v>0</v>
      </c>
      <c r="AZ87" s="6"/>
      <c r="BA87" s="7">
        <v>0</v>
      </c>
      <c r="BB87" s="6"/>
      <c r="BC87" s="7">
        <v>0</v>
      </c>
      <c r="BD87" s="6"/>
      <c r="BE87" s="7">
        <v>0</v>
      </c>
      <c r="BF87" s="6"/>
      <c r="BG87" s="7">
        <v>0</v>
      </c>
      <c r="BH87" s="6"/>
      <c r="BI87" s="7">
        <v>0</v>
      </c>
      <c r="BJ87" s="6"/>
      <c r="BK87" s="7">
        <v>0</v>
      </c>
      <c r="BL87" s="6"/>
      <c r="BM87" s="7">
        <v>0</v>
      </c>
      <c r="BN87" s="6"/>
      <c r="BO87" s="7">
        <v>0</v>
      </c>
      <c r="BP87" s="6"/>
      <c r="BQ87" s="7">
        <f>ROUND(SUM(G87:BO87),5)</f>
        <v>110235.6</v>
      </c>
    </row>
    <row r="88" spans="1:69">
      <c r="A88" s="4"/>
      <c r="B88" s="4"/>
      <c r="C88" s="4"/>
      <c r="D88" s="4"/>
      <c r="E88" s="4"/>
      <c r="F88" s="4" t="s">
        <v>169</v>
      </c>
      <c r="G88" s="7">
        <v>877</v>
      </c>
      <c r="H88" s="6"/>
      <c r="I88" s="7">
        <v>0</v>
      </c>
      <c r="J88" s="6"/>
      <c r="K88" s="7">
        <v>0</v>
      </c>
      <c r="L88" s="6"/>
      <c r="M88" s="7">
        <v>0</v>
      </c>
      <c r="N88" s="6"/>
      <c r="O88" s="7">
        <v>0</v>
      </c>
      <c r="P88" s="6"/>
      <c r="Q88" s="7">
        <v>0</v>
      </c>
      <c r="R88" s="6"/>
      <c r="S88" s="7">
        <v>0</v>
      </c>
      <c r="T88" s="6"/>
      <c r="U88" s="7">
        <v>0</v>
      </c>
      <c r="V88" s="6"/>
      <c r="W88" s="7">
        <v>0</v>
      </c>
      <c r="X88" s="6"/>
      <c r="Y88" s="7">
        <v>0</v>
      </c>
      <c r="Z88" s="6"/>
      <c r="AA88" s="7">
        <v>0</v>
      </c>
      <c r="AB88" s="6"/>
      <c r="AC88" s="7">
        <v>0</v>
      </c>
      <c r="AD88" s="6"/>
      <c r="AE88" s="7">
        <v>0</v>
      </c>
      <c r="AF88" s="6"/>
      <c r="AG88" s="7">
        <v>0</v>
      </c>
      <c r="AH88" s="6"/>
      <c r="AI88" s="7">
        <v>0</v>
      </c>
      <c r="AJ88" s="6"/>
      <c r="AK88" s="7">
        <v>0</v>
      </c>
      <c r="AL88" s="6"/>
      <c r="AM88" s="7">
        <v>0</v>
      </c>
      <c r="AN88" s="6"/>
      <c r="AO88" s="7">
        <v>0</v>
      </c>
      <c r="AP88" s="6"/>
      <c r="AQ88" s="7">
        <v>0</v>
      </c>
      <c r="AR88" s="6"/>
      <c r="AS88" s="7">
        <v>0</v>
      </c>
      <c r="AT88" s="6"/>
      <c r="AU88" s="7">
        <v>0</v>
      </c>
      <c r="AV88" s="6"/>
      <c r="AW88" s="7">
        <v>0</v>
      </c>
      <c r="AX88" s="6"/>
      <c r="AY88" s="7">
        <v>0</v>
      </c>
      <c r="AZ88" s="6"/>
      <c r="BA88" s="7">
        <v>0</v>
      </c>
      <c r="BB88" s="6"/>
      <c r="BC88" s="7">
        <v>0</v>
      </c>
      <c r="BD88" s="6"/>
      <c r="BE88" s="7">
        <v>0</v>
      </c>
      <c r="BF88" s="6"/>
      <c r="BG88" s="7">
        <v>0</v>
      </c>
      <c r="BH88" s="6"/>
      <c r="BI88" s="7">
        <v>0</v>
      </c>
      <c r="BJ88" s="6"/>
      <c r="BK88" s="7">
        <v>0</v>
      </c>
      <c r="BL88" s="6"/>
      <c r="BM88" s="7">
        <v>0</v>
      </c>
      <c r="BN88" s="6"/>
      <c r="BO88" s="7">
        <v>0</v>
      </c>
      <c r="BP88" s="6"/>
      <c r="BQ88" s="7">
        <f>ROUND(SUM(G88:BO88),5)</f>
        <v>877</v>
      </c>
    </row>
    <row r="89" spans="1:69">
      <c r="A89" s="4"/>
      <c r="B89" s="4"/>
      <c r="C89" s="4"/>
      <c r="D89" s="4"/>
      <c r="E89" s="4"/>
      <c r="F89" s="4" t="s">
        <v>170</v>
      </c>
      <c r="G89" s="7">
        <v>-5313.84</v>
      </c>
      <c r="H89" s="6"/>
      <c r="I89" s="7">
        <v>0</v>
      </c>
      <c r="J89" s="6"/>
      <c r="K89" s="7">
        <v>0</v>
      </c>
      <c r="L89" s="6"/>
      <c r="M89" s="7">
        <v>275.39999999999998</v>
      </c>
      <c r="N89" s="6"/>
      <c r="O89" s="7">
        <v>0</v>
      </c>
      <c r="P89" s="6"/>
      <c r="Q89" s="7">
        <v>0</v>
      </c>
      <c r="R89" s="6"/>
      <c r="S89" s="7">
        <v>0</v>
      </c>
      <c r="T89" s="6"/>
      <c r="U89" s="7">
        <v>0</v>
      </c>
      <c r="V89" s="6"/>
      <c r="W89" s="7">
        <v>0</v>
      </c>
      <c r="X89" s="6"/>
      <c r="Y89" s="7">
        <v>0</v>
      </c>
      <c r="Z89" s="6"/>
      <c r="AA89" s="7">
        <v>0</v>
      </c>
      <c r="AB89" s="6"/>
      <c r="AC89" s="7">
        <v>0</v>
      </c>
      <c r="AD89" s="6"/>
      <c r="AE89" s="7">
        <v>0</v>
      </c>
      <c r="AF89" s="6"/>
      <c r="AG89" s="7">
        <v>0</v>
      </c>
      <c r="AH89" s="6"/>
      <c r="AI89" s="7">
        <v>0</v>
      </c>
      <c r="AJ89" s="6"/>
      <c r="AK89" s="7">
        <v>0</v>
      </c>
      <c r="AL89" s="6"/>
      <c r="AM89" s="7">
        <v>0</v>
      </c>
      <c r="AN89" s="6"/>
      <c r="AO89" s="7">
        <v>0</v>
      </c>
      <c r="AP89" s="6"/>
      <c r="AQ89" s="7">
        <v>0</v>
      </c>
      <c r="AR89" s="6"/>
      <c r="AS89" s="7">
        <v>0</v>
      </c>
      <c r="AT89" s="6"/>
      <c r="AU89" s="7">
        <v>0</v>
      </c>
      <c r="AV89" s="6"/>
      <c r="AW89" s="7">
        <v>0</v>
      </c>
      <c r="AX89" s="6"/>
      <c r="AY89" s="7">
        <v>0</v>
      </c>
      <c r="AZ89" s="6"/>
      <c r="BA89" s="7">
        <v>0</v>
      </c>
      <c r="BB89" s="6"/>
      <c r="BC89" s="7">
        <v>0</v>
      </c>
      <c r="BD89" s="6"/>
      <c r="BE89" s="7">
        <v>0</v>
      </c>
      <c r="BF89" s="6"/>
      <c r="BG89" s="7">
        <v>0</v>
      </c>
      <c r="BH89" s="6"/>
      <c r="BI89" s="7">
        <v>0</v>
      </c>
      <c r="BJ89" s="6"/>
      <c r="BK89" s="7">
        <v>0</v>
      </c>
      <c r="BL89" s="6"/>
      <c r="BM89" s="7">
        <v>0</v>
      </c>
      <c r="BN89" s="6"/>
      <c r="BO89" s="7">
        <v>5204.63</v>
      </c>
      <c r="BP89" s="6"/>
      <c r="BQ89" s="7">
        <f>ROUND(SUM(G89:BO89),5)</f>
        <v>166.19</v>
      </c>
    </row>
    <row r="90" spans="1:69">
      <c r="A90" s="4"/>
      <c r="B90" s="4"/>
      <c r="C90" s="4"/>
      <c r="D90" s="4"/>
      <c r="E90" s="4"/>
      <c r="F90" s="4" t="s">
        <v>171</v>
      </c>
      <c r="G90" s="7">
        <v>8227.01</v>
      </c>
      <c r="H90" s="6"/>
      <c r="I90" s="7">
        <v>0</v>
      </c>
      <c r="J90" s="6"/>
      <c r="K90" s="7">
        <v>0</v>
      </c>
      <c r="L90" s="6"/>
      <c r="M90" s="7">
        <v>192.78</v>
      </c>
      <c r="N90" s="6"/>
      <c r="O90" s="7">
        <v>0</v>
      </c>
      <c r="P90" s="6"/>
      <c r="Q90" s="7">
        <v>0</v>
      </c>
      <c r="R90" s="6"/>
      <c r="S90" s="7">
        <v>0</v>
      </c>
      <c r="T90" s="6"/>
      <c r="U90" s="7">
        <v>0</v>
      </c>
      <c r="V90" s="6"/>
      <c r="W90" s="7">
        <v>0</v>
      </c>
      <c r="X90" s="6"/>
      <c r="Y90" s="7">
        <v>0</v>
      </c>
      <c r="Z90" s="6"/>
      <c r="AA90" s="7">
        <v>0</v>
      </c>
      <c r="AB90" s="6"/>
      <c r="AC90" s="7">
        <v>0</v>
      </c>
      <c r="AD90" s="6"/>
      <c r="AE90" s="7">
        <v>0</v>
      </c>
      <c r="AF90" s="6"/>
      <c r="AG90" s="7">
        <v>0</v>
      </c>
      <c r="AH90" s="6"/>
      <c r="AI90" s="7">
        <v>0</v>
      </c>
      <c r="AJ90" s="6"/>
      <c r="AK90" s="7">
        <v>0</v>
      </c>
      <c r="AL90" s="6"/>
      <c r="AM90" s="7">
        <v>0</v>
      </c>
      <c r="AN90" s="6"/>
      <c r="AO90" s="7">
        <v>0</v>
      </c>
      <c r="AP90" s="6"/>
      <c r="AQ90" s="7">
        <v>0</v>
      </c>
      <c r="AR90" s="6"/>
      <c r="AS90" s="7">
        <v>382.5</v>
      </c>
      <c r="AT90" s="6"/>
      <c r="AU90" s="7">
        <v>0</v>
      </c>
      <c r="AV90" s="6"/>
      <c r="AW90" s="7">
        <v>0</v>
      </c>
      <c r="AX90" s="6"/>
      <c r="AY90" s="7">
        <v>0</v>
      </c>
      <c r="AZ90" s="6"/>
      <c r="BA90" s="7">
        <v>0</v>
      </c>
      <c r="BB90" s="6"/>
      <c r="BC90" s="7">
        <v>0</v>
      </c>
      <c r="BD90" s="6"/>
      <c r="BE90" s="7">
        <v>0</v>
      </c>
      <c r="BF90" s="6"/>
      <c r="BG90" s="7">
        <v>0</v>
      </c>
      <c r="BH90" s="6"/>
      <c r="BI90" s="7">
        <v>0</v>
      </c>
      <c r="BJ90" s="6"/>
      <c r="BK90" s="7">
        <v>0</v>
      </c>
      <c r="BL90" s="6"/>
      <c r="BM90" s="7">
        <v>0</v>
      </c>
      <c r="BN90" s="6"/>
      <c r="BO90" s="7">
        <v>0</v>
      </c>
      <c r="BP90" s="6"/>
      <c r="BQ90" s="7">
        <f>ROUND(SUM(G90:BO90),5)</f>
        <v>8802.2900000000009</v>
      </c>
    </row>
    <row r="91" spans="1:69">
      <c r="A91" s="4"/>
      <c r="B91" s="4"/>
      <c r="C91" s="4"/>
      <c r="D91" s="4"/>
      <c r="E91" s="4"/>
      <c r="F91" s="4" t="s">
        <v>172</v>
      </c>
      <c r="G91" s="7">
        <v>9143</v>
      </c>
      <c r="H91" s="6"/>
      <c r="I91" s="7">
        <v>0</v>
      </c>
      <c r="J91" s="6"/>
      <c r="K91" s="7">
        <v>0</v>
      </c>
      <c r="L91" s="6"/>
      <c r="M91" s="7">
        <v>0</v>
      </c>
      <c r="N91" s="6"/>
      <c r="O91" s="7">
        <v>0</v>
      </c>
      <c r="P91" s="6"/>
      <c r="Q91" s="7">
        <v>0</v>
      </c>
      <c r="R91" s="6"/>
      <c r="S91" s="7">
        <v>0</v>
      </c>
      <c r="T91" s="6"/>
      <c r="U91" s="7">
        <v>0</v>
      </c>
      <c r="V91" s="6"/>
      <c r="W91" s="7">
        <v>0</v>
      </c>
      <c r="X91" s="6"/>
      <c r="Y91" s="7">
        <v>0</v>
      </c>
      <c r="Z91" s="6"/>
      <c r="AA91" s="7">
        <v>0</v>
      </c>
      <c r="AB91" s="6"/>
      <c r="AC91" s="7">
        <v>0</v>
      </c>
      <c r="AD91" s="6"/>
      <c r="AE91" s="7">
        <v>0</v>
      </c>
      <c r="AF91" s="6"/>
      <c r="AG91" s="7">
        <v>0</v>
      </c>
      <c r="AH91" s="6"/>
      <c r="AI91" s="7">
        <v>0</v>
      </c>
      <c r="AJ91" s="6"/>
      <c r="AK91" s="7">
        <v>0</v>
      </c>
      <c r="AL91" s="6"/>
      <c r="AM91" s="7">
        <v>0</v>
      </c>
      <c r="AN91" s="6"/>
      <c r="AO91" s="7">
        <v>0</v>
      </c>
      <c r="AP91" s="6"/>
      <c r="AQ91" s="7">
        <v>0</v>
      </c>
      <c r="AR91" s="6"/>
      <c r="AS91" s="7">
        <v>945.2</v>
      </c>
      <c r="AT91" s="6"/>
      <c r="AU91" s="7">
        <v>0</v>
      </c>
      <c r="AV91" s="6"/>
      <c r="AW91" s="7">
        <v>0</v>
      </c>
      <c r="AX91" s="6"/>
      <c r="AY91" s="7">
        <v>0</v>
      </c>
      <c r="AZ91" s="6"/>
      <c r="BA91" s="7">
        <v>0</v>
      </c>
      <c r="BB91" s="6"/>
      <c r="BC91" s="7">
        <v>0</v>
      </c>
      <c r="BD91" s="6"/>
      <c r="BE91" s="7">
        <v>0</v>
      </c>
      <c r="BF91" s="6"/>
      <c r="BG91" s="7">
        <v>0</v>
      </c>
      <c r="BH91" s="6"/>
      <c r="BI91" s="7">
        <v>0</v>
      </c>
      <c r="BJ91" s="6"/>
      <c r="BK91" s="7">
        <v>0</v>
      </c>
      <c r="BL91" s="6"/>
      <c r="BM91" s="7">
        <v>0</v>
      </c>
      <c r="BN91" s="6"/>
      <c r="BO91" s="7">
        <v>0</v>
      </c>
      <c r="BP91" s="6"/>
      <c r="BQ91" s="7">
        <f>ROUND(SUM(G91:BO91),5)</f>
        <v>10088.200000000001</v>
      </c>
    </row>
    <row r="92" spans="1:69" ht="15.75" thickBot="1">
      <c r="A92" s="4"/>
      <c r="B92" s="4"/>
      <c r="C92" s="4"/>
      <c r="D92" s="4"/>
      <c r="E92" s="4"/>
      <c r="F92" s="4" t="s">
        <v>173</v>
      </c>
      <c r="G92" s="9">
        <v>-152.35</v>
      </c>
      <c r="H92" s="6"/>
      <c r="I92" s="9">
        <v>0</v>
      </c>
      <c r="J92" s="6"/>
      <c r="K92" s="9">
        <v>0</v>
      </c>
      <c r="L92" s="6"/>
      <c r="M92" s="9">
        <v>0</v>
      </c>
      <c r="N92" s="6"/>
      <c r="O92" s="9">
        <v>0</v>
      </c>
      <c r="P92" s="6"/>
      <c r="Q92" s="9">
        <v>0</v>
      </c>
      <c r="R92" s="6"/>
      <c r="S92" s="9">
        <v>0</v>
      </c>
      <c r="T92" s="6"/>
      <c r="U92" s="9">
        <v>0</v>
      </c>
      <c r="V92" s="6"/>
      <c r="W92" s="9">
        <v>0</v>
      </c>
      <c r="X92" s="6"/>
      <c r="Y92" s="9">
        <v>0</v>
      </c>
      <c r="Z92" s="6"/>
      <c r="AA92" s="9">
        <v>0</v>
      </c>
      <c r="AB92" s="6"/>
      <c r="AC92" s="9">
        <v>0</v>
      </c>
      <c r="AD92" s="6"/>
      <c r="AE92" s="9">
        <v>0</v>
      </c>
      <c r="AF92" s="6"/>
      <c r="AG92" s="9">
        <v>0</v>
      </c>
      <c r="AH92" s="6"/>
      <c r="AI92" s="9">
        <v>0</v>
      </c>
      <c r="AJ92" s="6"/>
      <c r="AK92" s="9">
        <v>0</v>
      </c>
      <c r="AL92" s="6"/>
      <c r="AM92" s="9">
        <v>0</v>
      </c>
      <c r="AN92" s="6"/>
      <c r="AO92" s="9">
        <v>0</v>
      </c>
      <c r="AP92" s="6"/>
      <c r="AQ92" s="9">
        <v>0</v>
      </c>
      <c r="AR92" s="6"/>
      <c r="AS92" s="9">
        <v>152.35</v>
      </c>
      <c r="AT92" s="6"/>
      <c r="AU92" s="9">
        <v>0</v>
      </c>
      <c r="AV92" s="6"/>
      <c r="AW92" s="9">
        <v>0</v>
      </c>
      <c r="AX92" s="6"/>
      <c r="AY92" s="9">
        <v>0</v>
      </c>
      <c r="AZ92" s="6"/>
      <c r="BA92" s="9">
        <v>0</v>
      </c>
      <c r="BB92" s="6"/>
      <c r="BC92" s="9">
        <v>0</v>
      </c>
      <c r="BD92" s="6"/>
      <c r="BE92" s="9">
        <v>0</v>
      </c>
      <c r="BF92" s="6"/>
      <c r="BG92" s="9">
        <v>0</v>
      </c>
      <c r="BH92" s="6"/>
      <c r="BI92" s="9">
        <v>0</v>
      </c>
      <c r="BJ92" s="6"/>
      <c r="BK92" s="9">
        <v>0</v>
      </c>
      <c r="BL92" s="6"/>
      <c r="BM92" s="9">
        <v>0</v>
      </c>
      <c r="BN92" s="6"/>
      <c r="BO92" s="9">
        <v>0</v>
      </c>
      <c r="BP92" s="6"/>
      <c r="BQ92" s="9">
        <f>ROUND(SUM(G92:BO92),5)</f>
        <v>0</v>
      </c>
    </row>
    <row r="93" spans="1:69">
      <c r="A93" s="4"/>
      <c r="B93" s="4"/>
      <c r="C93" s="4"/>
      <c r="D93" s="4"/>
      <c r="E93" s="4" t="s">
        <v>174</v>
      </c>
      <c r="F93" s="4"/>
      <c r="G93" s="7">
        <f>ROUND(SUM(G85:G92),5)</f>
        <v>47460.2</v>
      </c>
      <c r="H93" s="6"/>
      <c r="I93" s="7">
        <f>ROUND(SUM(I85:I92),5)</f>
        <v>0</v>
      </c>
      <c r="J93" s="6"/>
      <c r="K93" s="7">
        <f>ROUND(SUM(K85:K92),5)</f>
        <v>0</v>
      </c>
      <c r="L93" s="6"/>
      <c r="M93" s="7">
        <f>ROUND(SUM(M85:M92),5)</f>
        <v>6588.18</v>
      </c>
      <c r="N93" s="6"/>
      <c r="O93" s="7">
        <f>ROUND(SUM(O85:O92),5)</f>
        <v>0</v>
      </c>
      <c r="P93" s="6"/>
      <c r="Q93" s="7">
        <f>ROUND(SUM(Q85:Q92),5)</f>
        <v>0</v>
      </c>
      <c r="R93" s="6"/>
      <c r="S93" s="7">
        <f>ROUND(SUM(S85:S92),5)</f>
        <v>0</v>
      </c>
      <c r="T93" s="6"/>
      <c r="U93" s="7">
        <f>ROUND(SUM(U85:U92),5)</f>
        <v>0</v>
      </c>
      <c r="V93" s="6"/>
      <c r="W93" s="7">
        <f>ROUND(SUM(W85:W92),5)</f>
        <v>0</v>
      </c>
      <c r="X93" s="6"/>
      <c r="Y93" s="7">
        <f>ROUND(SUM(Y85:Y92),5)</f>
        <v>0</v>
      </c>
      <c r="Z93" s="6"/>
      <c r="AA93" s="7">
        <f>ROUND(SUM(AA85:AA92),5)</f>
        <v>0</v>
      </c>
      <c r="AB93" s="6"/>
      <c r="AC93" s="7">
        <f>ROUND(SUM(AC85:AC92),5)</f>
        <v>0</v>
      </c>
      <c r="AD93" s="6"/>
      <c r="AE93" s="7">
        <f>ROUND(SUM(AE85:AE92),5)</f>
        <v>0</v>
      </c>
      <c r="AF93" s="6"/>
      <c r="AG93" s="7">
        <f>ROUND(SUM(AG85:AG92),5)</f>
        <v>0</v>
      </c>
      <c r="AH93" s="6"/>
      <c r="AI93" s="7">
        <f>ROUND(SUM(AI85:AI92),5)</f>
        <v>0</v>
      </c>
      <c r="AJ93" s="6"/>
      <c r="AK93" s="7">
        <f>ROUND(SUM(AK85:AK92),5)</f>
        <v>0</v>
      </c>
      <c r="AL93" s="6"/>
      <c r="AM93" s="7">
        <f>ROUND(SUM(AM85:AM92),5)</f>
        <v>0</v>
      </c>
      <c r="AN93" s="6"/>
      <c r="AO93" s="7">
        <f>ROUND(SUM(AO85:AO92),5)</f>
        <v>0</v>
      </c>
      <c r="AP93" s="6"/>
      <c r="AQ93" s="7">
        <f>ROUND(SUM(AQ85:AQ92),5)</f>
        <v>0</v>
      </c>
      <c r="AR93" s="6"/>
      <c r="AS93" s="7">
        <f>ROUND(SUM(AS85:AS92),5)</f>
        <v>6480.05</v>
      </c>
      <c r="AT93" s="6"/>
      <c r="AU93" s="7">
        <f>ROUND(SUM(AU85:AU92),5)</f>
        <v>0</v>
      </c>
      <c r="AV93" s="6"/>
      <c r="AW93" s="7">
        <f>ROUND(SUM(AW85:AW92),5)</f>
        <v>0</v>
      </c>
      <c r="AX93" s="6"/>
      <c r="AY93" s="7">
        <f>ROUND(SUM(AY85:AY92),5)</f>
        <v>0</v>
      </c>
      <c r="AZ93" s="6"/>
      <c r="BA93" s="7">
        <f>ROUND(SUM(BA85:BA92),5)</f>
        <v>0</v>
      </c>
      <c r="BB93" s="6"/>
      <c r="BC93" s="7">
        <f>ROUND(SUM(BC85:BC92),5)</f>
        <v>0</v>
      </c>
      <c r="BD93" s="6"/>
      <c r="BE93" s="7">
        <f>ROUND(SUM(BE85:BE92),5)</f>
        <v>0</v>
      </c>
      <c r="BF93" s="6"/>
      <c r="BG93" s="7">
        <f>ROUND(SUM(BG85:BG92),5)</f>
        <v>0</v>
      </c>
      <c r="BH93" s="6"/>
      <c r="BI93" s="7">
        <f>ROUND(SUM(BI85:BI92),5)</f>
        <v>0</v>
      </c>
      <c r="BJ93" s="6"/>
      <c r="BK93" s="7">
        <f>ROUND(SUM(BK85:BK92),5)</f>
        <v>0</v>
      </c>
      <c r="BL93" s="6"/>
      <c r="BM93" s="7">
        <f>ROUND(SUM(BM85:BM92),5)</f>
        <v>0</v>
      </c>
      <c r="BN93" s="6"/>
      <c r="BO93" s="7">
        <f>ROUND(SUM(BO85:BO92),5)</f>
        <v>73240.850000000006</v>
      </c>
      <c r="BP93" s="6"/>
      <c r="BQ93" s="7">
        <f>ROUND(SUM(G93:BO93),5)</f>
        <v>133769.28</v>
      </c>
    </row>
    <row r="94" spans="1:69">
      <c r="A94" s="4"/>
      <c r="B94" s="4"/>
      <c r="C94" s="4"/>
      <c r="D94" s="4"/>
      <c r="E94" s="4" t="s">
        <v>175</v>
      </c>
      <c r="F94" s="4"/>
      <c r="G94" s="7"/>
      <c r="H94" s="6"/>
      <c r="I94" s="7"/>
      <c r="J94" s="6"/>
      <c r="K94" s="7"/>
      <c r="L94" s="6"/>
      <c r="M94" s="7"/>
      <c r="N94" s="6"/>
      <c r="O94" s="7"/>
      <c r="P94" s="6"/>
      <c r="Q94" s="7"/>
      <c r="R94" s="6"/>
      <c r="S94" s="7"/>
      <c r="T94" s="6"/>
      <c r="U94" s="7"/>
      <c r="V94" s="6"/>
      <c r="W94" s="7"/>
      <c r="X94" s="6"/>
      <c r="Y94" s="7"/>
      <c r="Z94" s="6"/>
      <c r="AA94" s="7"/>
      <c r="AB94" s="6"/>
      <c r="AC94" s="7"/>
      <c r="AD94" s="6"/>
      <c r="AE94" s="7"/>
      <c r="AF94" s="6"/>
      <c r="AG94" s="7"/>
      <c r="AH94" s="6"/>
      <c r="AI94" s="7"/>
      <c r="AJ94" s="6"/>
      <c r="AK94" s="7"/>
      <c r="AL94" s="6"/>
      <c r="AM94" s="7"/>
      <c r="AN94" s="6"/>
      <c r="AO94" s="7"/>
      <c r="AP94" s="6"/>
      <c r="AQ94" s="7"/>
      <c r="AR94" s="6"/>
      <c r="AS94" s="7"/>
      <c r="AT94" s="6"/>
      <c r="AU94" s="7"/>
      <c r="AV94" s="6"/>
      <c r="AW94" s="7"/>
      <c r="AX94" s="6"/>
      <c r="AY94" s="7"/>
      <c r="AZ94" s="6"/>
      <c r="BA94" s="7"/>
      <c r="BB94" s="6"/>
      <c r="BC94" s="7"/>
      <c r="BD94" s="6"/>
      <c r="BE94" s="7"/>
      <c r="BF94" s="6"/>
      <c r="BG94" s="7"/>
      <c r="BH94" s="6"/>
      <c r="BI94" s="7"/>
      <c r="BJ94" s="6"/>
      <c r="BK94" s="7"/>
      <c r="BL94" s="6"/>
      <c r="BM94" s="7"/>
      <c r="BN94" s="6"/>
      <c r="BO94" s="7"/>
      <c r="BP94" s="6"/>
      <c r="BQ94" s="7"/>
    </row>
    <row r="95" spans="1:69">
      <c r="A95" s="4"/>
      <c r="B95" s="4"/>
      <c r="C95" s="4"/>
      <c r="D95" s="4"/>
      <c r="E95" s="4"/>
      <c r="F95" s="4" t="s">
        <v>176</v>
      </c>
      <c r="G95" s="7">
        <v>13016.38</v>
      </c>
      <c r="H95" s="6"/>
      <c r="I95" s="7">
        <v>0</v>
      </c>
      <c r="J95" s="6"/>
      <c r="K95" s="7">
        <v>0</v>
      </c>
      <c r="L95" s="6"/>
      <c r="M95" s="7">
        <v>0</v>
      </c>
      <c r="N95" s="6"/>
      <c r="O95" s="7">
        <v>0</v>
      </c>
      <c r="P95" s="6"/>
      <c r="Q95" s="7">
        <v>0</v>
      </c>
      <c r="R95" s="6"/>
      <c r="S95" s="7">
        <v>0</v>
      </c>
      <c r="T95" s="6"/>
      <c r="U95" s="7">
        <v>0</v>
      </c>
      <c r="V95" s="6"/>
      <c r="W95" s="7">
        <v>0</v>
      </c>
      <c r="X95" s="6"/>
      <c r="Y95" s="7">
        <v>0</v>
      </c>
      <c r="Z95" s="6"/>
      <c r="AA95" s="7">
        <v>0</v>
      </c>
      <c r="AB95" s="6"/>
      <c r="AC95" s="7">
        <v>0</v>
      </c>
      <c r="AD95" s="6"/>
      <c r="AE95" s="7">
        <v>0</v>
      </c>
      <c r="AF95" s="6"/>
      <c r="AG95" s="7">
        <v>0</v>
      </c>
      <c r="AH95" s="6"/>
      <c r="AI95" s="7">
        <v>0</v>
      </c>
      <c r="AJ95" s="6"/>
      <c r="AK95" s="7">
        <v>0</v>
      </c>
      <c r="AL95" s="6"/>
      <c r="AM95" s="7">
        <v>0</v>
      </c>
      <c r="AN95" s="6"/>
      <c r="AO95" s="7">
        <v>0</v>
      </c>
      <c r="AP95" s="6"/>
      <c r="AQ95" s="7">
        <v>0</v>
      </c>
      <c r="AR95" s="6"/>
      <c r="AS95" s="7">
        <v>0</v>
      </c>
      <c r="AT95" s="6"/>
      <c r="AU95" s="7">
        <v>0</v>
      </c>
      <c r="AV95" s="6"/>
      <c r="AW95" s="7">
        <v>0</v>
      </c>
      <c r="AX95" s="6"/>
      <c r="AY95" s="7">
        <v>0</v>
      </c>
      <c r="AZ95" s="6"/>
      <c r="BA95" s="7">
        <v>0</v>
      </c>
      <c r="BB95" s="6"/>
      <c r="BC95" s="7">
        <v>0</v>
      </c>
      <c r="BD95" s="6"/>
      <c r="BE95" s="7">
        <v>0</v>
      </c>
      <c r="BF95" s="6"/>
      <c r="BG95" s="7">
        <v>0</v>
      </c>
      <c r="BH95" s="6"/>
      <c r="BI95" s="7">
        <v>0</v>
      </c>
      <c r="BJ95" s="6"/>
      <c r="BK95" s="7">
        <v>0</v>
      </c>
      <c r="BL95" s="6"/>
      <c r="BM95" s="7">
        <v>0</v>
      </c>
      <c r="BN95" s="6"/>
      <c r="BO95" s="7">
        <v>0</v>
      </c>
      <c r="BP95" s="6"/>
      <c r="BQ95" s="7">
        <f>ROUND(SUM(G95:BO95),5)</f>
        <v>13016.38</v>
      </c>
    </row>
    <row r="96" spans="1:69" ht="15.75" thickBot="1">
      <c r="A96" s="4"/>
      <c r="B96" s="4"/>
      <c r="C96" s="4"/>
      <c r="D96" s="4"/>
      <c r="E96" s="4"/>
      <c r="F96" s="4" t="s">
        <v>177</v>
      </c>
      <c r="G96" s="9">
        <v>10274.6</v>
      </c>
      <c r="H96" s="6"/>
      <c r="I96" s="9">
        <v>0</v>
      </c>
      <c r="J96" s="6"/>
      <c r="K96" s="9">
        <v>0</v>
      </c>
      <c r="L96" s="6"/>
      <c r="M96" s="9">
        <v>0</v>
      </c>
      <c r="N96" s="6"/>
      <c r="O96" s="9">
        <v>0</v>
      </c>
      <c r="P96" s="6"/>
      <c r="Q96" s="9">
        <v>0</v>
      </c>
      <c r="R96" s="6"/>
      <c r="S96" s="9">
        <v>0</v>
      </c>
      <c r="T96" s="6"/>
      <c r="U96" s="9">
        <v>0</v>
      </c>
      <c r="V96" s="6"/>
      <c r="W96" s="9">
        <v>0</v>
      </c>
      <c r="X96" s="6"/>
      <c r="Y96" s="9">
        <v>0</v>
      </c>
      <c r="Z96" s="6"/>
      <c r="AA96" s="9">
        <v>0</v>
      </c>
      <c r="AB96" s="6"/>
      <c r="AC96" s="9">
        <v>0</v>
      </c>
      <c r="AD96" s="6"/>
      <c r="AE96" s="9">
        <v>0</v>
      </c>
      <c r="AF96" s="6"/>
      <c r="AG96" s="9">
        <v>0</v>
      </c>
      <c r="AH96" s="6"/>
      <c r="AI96" s="9">
        <v>0</v>
      </c>
      <c r="AJ96" s="6"/>
      <c r="AK96" s="9">
        <v>0</v>
      </c>
      <c r="AL96" s="6"/>
      <c r="AM96" s="9">
        <v>0</v>
      </c>
      <c r="AN96" s="6"/>
      <c r="AO96" s="9">
        <v>0</v>
      </c>
      <c r="AP96" s="6"/>
      <c r="AQ96" s="9">
        <v>0</v>
      </c>
      <c r="AR96" s="6"/>
      <c r="AS96" s="9">
        <v>0</v>
      </c>
      <c r="AT96" s="6"/>
      <c r="AU96" s="9">
        <v>0</v>
      </c>
      <c r="AV96" s="6"/>
      <c r="AW96" s="9">
        <v>0</v>
      </c>
      <c r="AX96" s="6"/>
      <c r="AY96" s="9">
        <v>0</v>
      </c>
      <c r="AZ96" s="6"/>
      <c r="BA96" s="9">
        <v>0</v>
      </c>
      <c r="BB96" s="6"/>
      <c r="BC96" s="9">
        <v>0</v>
      </c>
      <c r="BD96" s="6"/>
      <c r="BE96" s="9">
        <v>0</v>
      </c>
      <c r="BF96" s="6"/>
      <c r="BG96" s="9">
        <v>0</v>
      </c>
      <c r="BH96" s="6"/>
      <c r="BI96" s="9">
        <v>0</v>
      </c>
      <c r="BJ96" s="6"/>
      <c r="BK96" s="9">
        <v>0</v>
      </c>
      <c r="BL96" s="6"/>
      <c r="BM96" s="9">
        <v>0</v>
      </c>
      <c r="BN96" s="6"/>
      <c r="BO96" s="9">
        <v>0</v>
      </c>
      <c r="BP96" s="6"/>
      <c r="BQ96" s="9">
        <f>ROUND(SUM(G96:BO96),5)</f>
        <v>10274.6</v>
      </c>
    </row>
    <row r="97" spans="1:69">
      <c r="A97" s="4"/>
      <c r="B97" s="4"/>
      <c r="C97" s="4"/>
      <c r="D97" s="4"/>
      <c r="E97" s="4" t="s">
        <v>178</v>
      </c>
      <c r="F97" s="4"/>
      <c r="G97" s="7">
        <f>ROUND(SUM(G94:G96),5)</f>
        <v>23290.98</v>
      </c>
      <c r="H97" s="6"/>
      <c r="I97" s="7">
        <f>ROUND(SUM(I94:I96),5)</f>
        <v>0</v>
      </c>
      <c r="J97" s="6"/>
      <c r="K97" s="7">
        <f>ROUND(SUM(K94:K96),5)</f>
        <v>0</v>
      </c>
      <c r="L97" s="6"/>
      <c r="M97" s="7">
        <f>ROUND(SUM(M94:M96),5)</f>
        <v>0</v>
      </c>
      <c r="N97" s="6"/>
      <c r="O97" s="7">
        <f>ROUND(SUM(O94:O96),5)</f>
        <v>0</v>
      </c>
      <c r="P97" s="6"/>
      <c r="Q97" s="7">
        <f>ROUND(SUM(Q94:Q96),5)</f>
        <v>0</v>
      </c>
      <c r="R97" s="6"/>
      <c r="S97" s="7">
        <f>ROUND(SUM(S94:S96),5)</f>
        <v>0</v>
      </c>
      <c r="T97" s="6"/>
      <c r="U97" s="7">
        <f>ROUND(SUM(U94:U96),5)</f>
        <v>0</v>
      </c>
      <c r="V97" s="6"/>
      <c r="W97" s="7">
        <f>ROUND(SUM(W94:W96),5)</f>
        <v>0</v>
      </c>
      <c r="X97" s="6"/>
      <c r="Y97" s="7">
        <f>ROUND(SUM(Y94:Y96),5)</f>
        <v>0</v>
      </c>
      <c r="Z97" s="6"/>
      <c r="AA97" s="7">
        <f>ROUND(SUM(AA94:AA96),5)</f>
        <v>0</v>
      </c>
      <c r="AB97" s="6"/>
      <c r="AC97" s="7">
        <f>ROUND(SUM(AC94:AC96),5)</f>
        <v>0</v>
      </c>
      <c r="AD97" s="6"/>
      <c r="AE97" s="7">
        <f>ROUND(SUM(AE94:AE96),5)</f>
        <v>0</v>
      </c>
      <c r="AF97" s="6"/>
      <c r="AG97" s="7">
        <f>ROUND(SUM(AG94:AG96),5)</f>
        <v>0</v>
      </c>
      <c r="AH97" s="6"/>
      <c r="AI97" s="7">
        <f>ROUND(SUM(AI94:AI96),5)</f>
        <v>0</v>
      </c>
      <c r="AJ97" s="6"/>
      <c r="AK97" s="7">
        <f>ROUND(SUM(AK94:AK96),5)</f>
        <v>0</v>
      </c>
      <c r="AL97" s="6"/>
      <c r="AM97" s="7">
        <f>ROUND(SUM(AM94:AM96),5)</f>
        <v>0</v>
      </c>
      <c r="AN97" s="6"/>
      <c r="AO97" s="7">
        <f>ROUND(SUM(AO94:AO96),5)</f>
        <v>0</v>
      </c>
      <c r="AP97" s="6"/>
      <c r="AQ97" s="7">
        <f>ROUND(SUM(AQ94:AQ96),5)</f>
        <v>0</v>
      </c>
      <c r="AR97" s="6"/>
      <c r="AS97" s="7">
        <f>ROUND(SUM(AS94:AS96),5)</f>
        <v>0</v>
      </c>
      <c r="AT97" s="6"/>
      <c r="AU97" s="7">
        <f>ROUND(SUM(AU94:AU96),5)</f>
        <v>0</v>
      </c>
      <c r="AV97" s="6"/>
      <c r="AW97" s="7">
        <f>ROUND(SUM(AW94:AW96),5)</f>
        <v>0</v>
      </c>
      <c r="AX97" s="6"/>
      <c r="AY97" s="7">
        <f>ROUND(SUM(AY94:AY96),5)</f>
        <v>0</v>
      </c>
      <c r="AZ97" s="6"/>
      <c r="BA97" s="7">
        <f>ROUND(SUM(BA94:BA96),5)</f>
        <v>0</v>
      </c>
      <c r="BB97" s="6"/>
      <c r="BC97" s="7">
        <f>ROUND(SUM(BC94:BC96),5)</f>
        <v>0</v>
      </c>
      <c r="BD97" s="6"/>
      <c r="BE97" s="7">
        <f>ROUND(SUM(BE94:BE96),5)</f>
        <v>0</v>
      </c>
      <c r="BF97" s="6"/>
      <c r="BG97" s="7">
        <f>ROUND(SUM(BG94:BG96),5)</f>
        <v>0</v>
      </c>
      <c r="BH97" s="6"/>
      <c r="BI97" s="7">
        <f>ROUND(SUM(BI94:BI96),5)</f>
        <v>0</v>
      </c>
      <c r="BJ97" s="6"/>
      <c r="BK97" s="7">
        <f>ROUND(SUM(BK94:BK96),5)</f>
        <v>0</v>
      </c>
      <c r="BL97" s="6"/>
      <c r="BM97" s="7">
        <f>ROUND(SUM(BM94:BM96),5)</f>
        <v>0</v>
      </c>
      <c r="BN97" s="6"/>
      <c r="BO97" s="7">
        <f>ROUND(SUM(BO94:BO96),5)</f>
        <v>0</v>
      </c>
      <c r="BP97" s="6"/>
      <c r="BQ97" s="7">
        <f>ROUND(SUM(G97:BO97),5)</f>
        <v>23290.98</v>
      </c>
    </row>
    <row r="98" spans="1:69">
      <c r="A98" s="4"/>
      <c r="B98" s="4"/>
      <c r="C98" s="4"/>
      <c r="D98" s="4"/>
      <c r="E98" s="4" t="s">
        <v>179</v>
      </c>
      <c r="F98" s="4"/>
      <c r="G98" s="7"/>
      <c r="H98" s="6"/>
      <c r="I98" s="7"/>
      <c r="J98" s="6"/>
      <c r="K98" s="7"/>
      <c r="L98" s="6"/>
      <c r="M98" s="7"/>
      <c r="N98" s="6"/>
      <c r="O98" s="7"/>
      <c r="P98" s="6"/>
      <c r="Q98" s="7"/>
      <c r="R98" s="6"/>
      <c r="S98" s="7"/>
      <c r="T98" s="6"/>
      <c r="U98" s="7"/>
      <c r="V98" s="6"/>
      <c r="W98" s="7"/>
      <c r="X98" s="6"/>
      <c r="Y98" s="7"/>
      <c r="Z98" s="6"/>
      <c r="AA98" s="7"/>
      <c r="AB98" s="6"/>
      <c r="AC98" s="7"/>
      <c r="AD98" s="6"/>
      <c r="AE98" s="7"/>
      <c r="AF98" s="6"/>
      <c r="AG98" s="7"/>
      <c r="AH98" s="6"/>
      <c r="AI98" s="7"/>
      <c r="AJ98" s="6"/>
      <c r="AK98" s="7"/>
      <c r="AL98" s="6"/>
      <c r="AM98" s="7"/>
      <c r="AN98" s="6"/>
      <c r="AO98" s="7"/>
      <c r="AP98" s="6"/>
      <c r="AQ98" s="7"/>
      <c r="AR98" s="6"/>
      <c r="AS98" s="7"/>
      <c r="AT98" s="6"/>
      <c r="AU98" s="7"/>
      <c r="AV98" s="6"/>
      <c r="AW98" s="7"/>
      <c r="AX98" s="6"/>
      <c r="AY98" s="7"/>
      <c r="AZ98" s="6"/>
      <c r="BA98" s="7"/>
      <c r="BB98" s="6"/>
      <c r="BC98" s="7"/>
      <c r="BD98" s="6"/>
      <c r="BE98" s="7"/>
      <c r="BF98" s="6"/>
      <c r="BG98" s="7"/>
      <c r="BH98" s="6"/>
      <c r="BI98" s="7"/>
      <c r="BJ98" s="6"/>
      <c r="BK98" s="7"/>
      <c r="BL98" s="6"/>
      <c r="BM98" s="7"/>
      <c r="BN98" s="6"/>
      <c r="BO98" s="7"/>
      <c r="BP98" s="6"/>
      <c r="BQ98" s="7"/>
    </row>
    <row r="99" spans="1:69">
      <c r="A99" s="4"/>
      <c r="B99" s="4"/>
      <c r="C99" s="4"/>
      <c r="D99" s="4"/>
      <c r="E99" s="4"/>
      <c r="F99" s="4" t="s">
        <v>180</v>
      </c>
      <c r="G99" s="7">
        <v>-169.34</v>
      </c>
      <c r="H99" s="6"/>
      <c r="I99" s="7">
        <v>0</v>
      </c>
      <c r="J99" s="6"/>
      <c r="K99" s="7">
        <v>0</v>
      </c>
      <c r="L99" s="6"/>
      <c r="M99" s="7">
        <v>0</v>
      </c>
      <c r="N99" s="6"/>
      <c r="O99" s="7">
        <v>0</v>
      </c>
      <c r="P99" s="6"/>
      <c r="Q99" s="7">
        <v>0</v>
      </c>
      <c r="R99" s="6"/>
      <c r="S99" s="7">
        <v>0</v>
      </c>
      <c r="T99" s="6"/>
      <c r="U99" s="7">
        <v>0</v>
      </c>
      <c r="V99" s="6"/>
      <c r="W99" s="7">
        <v>0</v>
      </c>
      <c r="X99" s="6"/>
      <c r="Y99" s="7">
        <v>0</v>
      </c>
      <c r="Z99" s="6"/>
      <c r="AA99" s="7">
        <v>0</v>
      </c>
      <c r="AB99" s="6"/>
      <c r="AC99" s="7">
        <v>0</v>
      </c>
      <c r="AD99" s="6"/>
      <c r="AE99" s="7">
        <v>0</v>
      </c>
      <c r="AF99" s="6"/>
      <c r="AG99" s="7">
        <v>0</v>
      </c>
      <c r="AH99" s="6"/>
      <c r="AI99" s="7">
        <v>0</v>
      </c>
      <c r="AJ99" s="6"/>
      <c r="AK99" s="7">
        <v>0</v>
      </c>
      <c r="AL99" s="6"/>
      <c r="AM99" s="7">
        <v>0</v>
      </c>
      <c r="AN99" s="6"/>
      <c r="AO99" s="7">
        <v>0</v>
      </c>
      <c r="AP99" s="6"/>
      <c r="AQ99" s="7">
        <v>0</v>
      </c>
      <c r="AR99" s="6"/>
      <c r="AS99" s="7">
        <v>0</v>
      </c>
      <c r="AT99" s="6"/>
      <c r="AU99" s="7">
        <v>0</v>
      </c>
      <c r="AV99" s="6"/>
      <c r="AW99" s="7">
        <v>0</v>
      </c>
      <c r="AX99" s="6"/>
      <c r="AY99" s="7">
        <v>0</v>
      </c>
      <c r="AZ99" s="6"/>
      <c r="BA99" s="7">
        <v>0</v>
      </c>
      <c r="BB99" s="6"/>
      <c r="BC99" s="7">
        <v>0</v>
      </c>
      <c r="BD99" s="6"/>
      <c r="BE99" s="7">
        <v>0</v>
      </c>
      <c r="BF99" s="6"/>
      <c r="BG99" s="7">
        <v>1767.34</v>
      </c>
      <c r="BH99" s="6"/>
      <c r="BI99" s="7">
        <v>0</v>
      </c>
      <c r="BJ99" s="6"/>
      <c r="BK99" s="7">
        <v>0</v>
      </c>
      <c r="BL99" s="6"/>
      <c r="BM99" s="7">
        <v>0</v>
      </c>
      <c r="BN99" s="6"/>
      <c r="BO99" s="7">
        <v>0</v>
      </c>
      <c r="BP99" s="6"/>
      <c r="BQ99" s="7">
        <f>ROUND(SUM(G99:BO99),5)</f>
        <v>1598</v>
      </c>
    </row>
    <row r="100" spans="1:69">
      <c r="A100" s="4"/>
      <c r="B100" s="4"/>
      <c r="C100" s="4"/>
      <c r="D100" s="4"/>
      <c r="E100" s="4"/>
      <c r="F100" s="4" t="s">
        <v>181</v>
      </c>
      <c r="G100" s="7">
        <v>4654.41</v>
      </c>
      <c r="H100" s="6"/>
      <c r="I100" s="7">
        <v>0</v>
      </c>
      <c r="J100" s="6"/>
      <c r="K100" s="7">
        <v>0</v>
      </c>
      <c r="L100" s="6"/>
      <c r="M100" s="7">
        <v>0</v>
      </c>
      <c r="N100" s="6"/>
      <c r="O100" s="7">
        <v>0</v>
      </c>
      <c r="P100" s="6"/>
      <c r="Q100" s="7">
        <v>0</v>
      </c>
      <c r="R100" s="6"/>
      <c r="S100" s="7">
        <v>0</v>
      </c>
      <c r="T100" s="6"/>
      <c r="U100" s="7">
        <v>0</v>
      </c>
      <c r="V100" s="6"/>
      <c r="W100" s="7">
        <v>0</v>
      </c>
      <c r="X100" s="6"/>
      <c r="Y100" s="7">
        <v>0</v>
      </c>
      <c r="Z100" s="6"/>
      <c r="AA100" s="7">
        <v>0</v>
      </c>
      <c r="AB100" s="6"/>
      <c r="AC100" s="7">
        <v>0</v>
      </c>
      <c r="AD100" s="6"/>
      <c r="AE100" s="7">
        <v>0</v>
      </c>
      <c r="AF100" s="6"/>
      <c r="AG100" s="7">
        <v>0</v>
      </c>
      <c r="AH100" s="6"/>
      <c r="AI100" s="7">
        <v>0</v>
      </c>
      <c r="AJ100" s="6"/>
      <c r="AK100" s="7">
        <v>0</v>
      </c>
      <c r="AL100" s="6"/>
      <c r="AM100" s="7">
        <v>0</v>
      </c>
      <c r="AN100" s="6"/>
      <c r="AO100" s="7">
        <v>0</v>
      </c>
      <c r="AP100" s="6"/>
      <c r="AQ100" s="7">
        <v>0</v>
      </c>
      <c r="AR100" s="6"/>
      <c r="AS100" s="7">
        <v>0</v>
      </c>
      <c r="AT100" s="6"/>
      <c r="AU100" s="7">
        <v>0</v>
      </c>
      <c r="AV100" s="6"/>
      <c r="AW100" s="7">
        <v>0</v>
      </c>
      <c r="AX100" s="6"/>
      <c r="AY100" s="7">
        <v>0</v>
      </c>
      <c r="AZ100" s="6"/>
      <c r="BA100" s="7">
        <v>0</v>
      </c>
      <c r="BB100" s="6"/>
      <c r="BC100" s="7">
        <v>0</v>
      </c>
      <c r="BD100" s="6"/>
      <c r="BE100" s="7">
        <v>0</v>
      </c>
      <c r="BF100" s="6"/>
      <c r="BG100" s="7">
        <v>0</v>
      </c>
      <c r="BH100" s="6"/>
      <c r="BI100" s="7">
        <v>0</v>
      </c>
      <c r="BJ100" s="6"/>
      <c r="BK100" s="7">
        <v>0</v>
      </c>
      <c r="BL100" s="6"/>
      <c r="BM100" s="7">
        <v>0</v>
      </c>
      <c r="BN100" s="6"/>
      <c r="BO100" s="7">
        <v>0</v>
      </c>
      <c r="BP100" s="6"/>
      <c r="BQ100" s="7">
        <f>ROUND(SUM(G100:BO100),5)</f>
        <v>4654.41</v>
      </c>
    </row>
    <row r="101" spans="1:69">
      <c r="A101" s="4"/>
      <c r="B101" s="4"/>
      <c r="C101" s="4"/>
      <c r="D101" s="4"/>
      <c r="E101" s="4"/>
      <c r="F101" s="4" t="s">
        <v>182</v>
      </c>
      <c r="G101" s="7">
        <v>123.46</v>
      </c>
      <c r="H101" s="6"/>
      <c r="I101" s="7">
        <v>0</v>
      </c>
      <c r="J101" s="6"/>
      <c r="K101" s="7">
        <v>0</v>
      </c>
      <c r="L101" s="6"/>
      <c r="M101" s="7">
        <v>0</v>
      </c>
      <c r="N101" s="6"/>
      <c r="O101" s="7">
        <v>0</v>
      </c>
      <c r="P101" s="6"/>
      <c r="Q101" s="7">
        <v>0</v>
      </c>
      <c r="R101" s="6"/>
      <c r="S101" s="7">
        <v>0</v>
      </c>
      <c r="T101" s="6"/>
      <c r="U101" s="7">
        <v>0</v>
      </c>
      <c r="V101" s="6"/>
      <c r="W101" s="7">
        <v>0</v>
      </c>
      <c r="X101" s="6"/>
      <c r="Y101" s="7">
        <v>0</v>
      </c>
      <c r="Z101" s="6"/>
      <c r="AA101" s="7">
        <v>0</v>
      </c>
      <c r="AB101" s="6"/>
      <c r="AC101" s="7">
        <v>0</v>
      </c>
      <c r="AD101" s="6"/>
      <c r="AE101" s="7">
        <v>0</v>
      </c>
      <c r="AF101" s="6"/>
      <c r="AG101" s="7">
        <v>0</v>
      </c>
      <c r="AH101" s="6"/>
      <c r="AI101" s="7">
        <v>0</v>
      </c>
      <c r="AJ101" s="6"/>
      <c r="AK101" s="7">
        <v>0</v>
      </c>
      <c r="AL101" s="6"/>
      <c r="AM101" s="7">
        <v>0</v>
      </c>
      <c r="AN101" s="6"/>
      <c r="AO101" s="7">
        <v>0</v>
      </c>
      <c r="AP101" s="6"/>
      <c r="AQ101" s="7">
        <v>0</v>
      </c>
      <c r="AR101" s="6"/>
      <c r="AS101" s="7">
        <v>0</v>
      </c>
      <c r="AT101" s="6"/>
      <c r="AU101" s="7">
        <v>0</v>
      </c>
      <c r="AV101" s="6"/>
      <c r="AW101" s="7">
        <v>0</v>
      </c>
      <c r="AX101" s="6"/>
      <c r="AY101" s="7">
        <v>0</v>
      </c>
      <c r="AZ101" s="6"/>
      <c r="BA101" s="7">
        <v>0</v>
      </c>
      <c r="BB101" s="6"/>
      <c r="BC101" s="7">
        <v>0</v>
      </c>
      <c r="BD101" s="6"/>
      <c r="BE101" s="7">
        <v>0</v>
      </c>
      <c r="BF101" s="6"/>
      <c r="BG101" s="7">
        <v>0</v>
      </c>
      <c r="BH101" s="6"/>
      <c r="BI101" s="7">
        <v>0</v>
      </c>
      <c r="BJ101" s="6"/>
      <c r="BK101" s="7">
        <v>0</v>
      </c>
      <c r="BL101" s="6"/>
      <c r="BM101" s="7">
        <v>0</v>
      </c>
      <c r="BN101" s="6"/>
      <c r="BO101" s="7">
        <v>0</v>
      </c>
      <c r="BP101" s="6"/>
      <c r="BQ101" s="7">
        <f>ROUND(SUM(G101:BO101),5)</f>
        <v>123.46</v>
      </c>
    </row>
    <row r="102" spans="1:69" ht="15.75" thickBot="1">
      <c r="A102" s="4"/>
      <c r="B102" s="4"/>
      <c r="C102" s="4"/>
      <c r="D102" s="4"/>
      <c r="E102" s="4"/>
      <c r="F102" s="4" t="s">
        <v>183</v>
      </c>
      <c r="G102" s="9">
        <v>2729.52</v>
      </c>
      <c r="H102" s="6"/>
      <c r="I102" s="9">
        <v>0</v>
      </c>
      <c r="J102" s="6"/>
      <c r="K102" s="9">
        <v>0</v>
      </c>
      <c r="L102" s="6"/>
      <c r="M102" s="9">
        <v>0</v>
      </c>
      <c r="N102" s="6"/>
      <c r="O102" s="9">
        <v>0</v>
      </c>
      <c r="P102" s="6"/>
      <c r="Q102" s="9">
        <v>0</v>
      </c>
      <c r="R102" s="6"/>
      <c r="S102" s="9">
        <v>0</v>
      </c>
      <c r="T102" s="6"/>
      <c r="U102" s="9">
        <v>0</v>
      </c>
      <c r="V102" s="6"/>
      <c r="W102" s="9">
        <v>0</v>
      </c>
      <c r="X102" s="6"/>
      <c r="Y102" s="9">
        <v>0</v>
      </c>
      <c r="Z102" s="6"/>
      <c r="AA102" s="9">
        <v>0</v>
      </c>
      <c r="AB102" s="6"/>
      <c r="AC102" s="9">
        <v>0</v>
      </c>
      <c r="AD102" s="6"/>
      <c r="AE102" s="9">
        <v>0</v>
      </c>
      <c r="AF102" s="6"/>
      <c r="AG102" s="9">
        <v>0</v>
      </c>
      <c r="AH102" s="6"/>
      <c r="AI102" s="9">
        <v>0</v>
      </c>
      <c r="AJ102" s="6"/>
      <c r="AK102" s="9">
        <v>0</v>
      </c>
      <c r="AL102" s="6"/>
      <c r="AM102" s="9">
        <v>0</v>
      </c>
      <c r="AN102" s="6"/>
      <c r="AO102" s="9">
        <v>0</v>
      </c>
      <c r="AP102" s="6"/>
      <c r="AQ102" s="9">
        <v>0</v>
      </c>
      <c r="AR102" s="6"/>
      <c r="AS102" s="9">
        <v>0</v>
      </c>
      <c r="AT102" s="6"/>
      <c r="AU102" s="9">
        <v>0</v>
      </c>
      <c r="AV102" s="6"/>
      <c r="AW102" s="9">
        <v>0</v>
      </c>
      <c r="AX102" s="6"/>
      <c r="AY102" s="9">
        <v>0</v>
      </c>
      <c r="AZ102" s="6"/>
      <c r="BA102" s="9">
        <v>0</v>
      </c>
      <c r="BB102" s="6"/>
      <c r="BC102" s="9">
        <v>0</v>
      </c>
      <c r="BD102" s="6"/>
      <c r="BE102" s="9">
        <v>0</v>
      </c>
      <c r="BF102" s="6"/>
      <c r="BG102" s="9">
        <v>0</v>
      </c>
      <c r="BH102" s="6"/>
      <c r="BI102" s="9">
        <v>0</v>
      </c>
      <c r="BJ102" s="6"/>
      <c r="BK102" s="9">
        <v>0</v>
      </c>
      <c r="BL102" s="6"/>
      <c r="BM102" s="9">
        <v>0</v>
      </c>
      <c r="BN102" s="6"/>
      <c r="BO102" s="9">
        <v>0</v>
      </c>
      <c r="BP102" s="6"/>
      <c r="BQ102" s="9">
        <f>ROUND(SUM(G102:BO102),5)</f>
        <v>2729.52</v>
      </c>
    </row>
    <row r="103" spans="1:69">
      <c r="A103" s="4"/>
      <c r="B103" s="4"/>
      <c r="C103" s="4"/>
      <c r="D103" s="4"/>
      <c r="E103" s="4" t="s">
        <v>184</v>
      </c>
      <c r="F103" s="4"/>
      <c r="G103" s="7">
        <f>ROUND(SUM(G98:G102),5)</f>
        <v>7338.05</v>
      </c>
      <c r="H103" s="6"/>
      <c r="I103" s="7">
        <f>ROUND(SUM(I98:I102),5)</f>
        <v>0</v>
      </c>
      <c r="J103" s="6"/>
      <c r="K103" s="7">
        <f>ROUND(SUM(K98:K102),5)</f>
        <v>0</v>
      </c>
      <c r="L103" s="6"/>
      <c r="M103" s="7">
        <f>ROUND(SUM(M98:M102),5)</f>
        <v>0</v>
      </c>
      <c r="N103" s="6"/>
      <c r="O103" s="7">
        <f>ROUND(SUM(O98:O102),5)</f>
        <v>0</v>
      </c>
      <c r="P103" s="6"/>
      <c r="Q103" s="7">
        <f>ROUND(SUM(Q98:Q102),5)</f>
        <v>0</v>
      </c>
      <c r="R103" s="6"/>
      <c r="S103" s="7">
        <f>ROUND(SUM(S98:S102),5)</f>
        <v>0</v>
      </c>
      <c r="T103" s="6"/>
      <c r="U103" s="7">
        <f>ROUND(SUM(U98:U102),5)</f>
        <v>0</v>
      </c>
      <c r="V103" s="6"/>
      <c r="W103" s="7">
        <f>ROUND(SUM(W98:W102),5)</f>
        <v>0</v>
      </c>
      <c r="X103" s="6"/>
      <c r="Y103" s="7">
        <f>ROUND(SUM(Y98:Y102),5)</f>
        <v>0</v>
      </c>
      <c r="Z103" s="6"/>
      <c r="AA103" s="7">
        <f>ROUND(SUM(AA98:AA102),5)</f>
        <v>0</v>
      </c>
      <c r="AB103" s="6"/>
      <c r="AC103" s="7">
        <f>ROUND(SUM(AC98:AC102),5)</f>
        <v>0</v>
      </c>
      <c r="AD103" s="6"/>
      <c r="AE103" s="7">
        <f>ROUND(SUM(AE98:AE102),5)</f>
        <v>0</v>
      </c>
      <c r="AF103" s="6"/>
      <c r="AG103" s="7">
        <f>ROUND(SUM(AG98:AG102),5)</f>
        <v>0</v>
      </c>
      <c r="AH103" s="6"/>
      <c r="AI103" s="7">
        <f>ROUND(SUM(AI98:AI102),5)</f>
        <v>0</v>
      </c>
      <c r="AJ103" s="6"/>
      <c r="AK103" s="7">
        <f>ROUND(SUM(AK98:AK102),5)</f>
        <v>0</v>
      </c>
      <c r="AL103" s="6"/>
      <c r="AM103" s="7">
        <f>ROUND(SUM(AM98:AM102),5)</f>
        <v>0</v>
      </c>
      <c r="AN103" s="6"/>
      <c r="AO103" s="7">
        <f>ROUND(SUM(AO98:AO102),5)</f>
        <v>0</v>
      </c>
      <c r="AP103" s="6"/>
      <c r="AQ103" s="7">
        <f>ROUND(SUM(AQ98:AQ102),5)</f>
        <v>0</v>
      </c>
      <c r="AR103" s="6"/>
      <c r="AS103" s="7">
        <f>ROUND(SUM(AS98:AS102),5)</f>
        <v>0</v>
      </c>
      <c r="AT103" s="6"/>
      <c r="AU103" s="7">
        <f>ROUND(SUM(AU98:AU102),5)</f>
        <v>0</v>
      </c>
      <c r="AV103" s="6"/>
      <c r="AW103" s="7">
        <f>ROUND(SUM(AW98:AW102),5)</f>
        <v>0</v>
      </c>
      <c r="AX103" s="6"/>
      <c r="AY103" s="7">
        <f>ROUND(SUM(AY98:AY102),5)</f>
        <v>0</v>
      </c>
      <c r="AZ103" s="6"/>
      <c r="BA103" s="7">
        <f>ROUND(SUM(BA98:BA102),5)</f>
        <v>0</v>
      </c>
      <c r="BB103" s="6"/>
      <c r="BC103" s="7">
        <f>ROUND(SUM(BC98:BC102),5)</f>
        <v>0</v>
      </c>
      <c r="BD103" s="6"/>
      <c r="BE103" s="7">
        <f>ROUND(SUM(BE98:BE102),5)</f>
        <v>0</v>
      </c>
      <c r="BF103" s="6"/>
      <c r="BG103" s="7">
        <f>ROUND(SUM(BG98:BG102),5)</f>
        <v>1767.34</v>
      </c>
      <c r="BH103" s="6"/>
      <c r="BI103" s="7">
        <f>ROUND(SUM(BI98:BI102),5)</f>
        <v>0</v>
      </c>
      <c r="BJ103" s="6"/>
      <c r="BK103" s="7">
        <f>ROUND(SUM(BK98:BK102),5)</f>
        <v>0</v>
      </c>
      <c r="BL103" s="6"/>
      <c r="BM103" s="7">
        <f>ROUND(SUM(BM98:BM102),5)</f>
        <v>0</v>
      </c>
      <c r="BN103" s="6"/>
      <c r="BO103" s="7">
        <f>ROUND(SUM(BO98:BO102),5)</f>
        <v>0</v>
      </c>
      <c r="BP103" s="6"/>
      <c r="BQ103" s="7">
        <f>ROUND(SUM(G103:BO103),5)</f>
        <v>9105.39</v>
      </c>
    </row>
    <row r="104" spans="1:69">
      <c r="A104" s="4"/>
      <c r="B104" s="4"/>
      <c r="C104" s="4"/>
      <c r="D104" s="4"/>
      <c r="E104" s="4" t="s">
        <v>185</v>
      </c>
      <c r="F104" s="4"/>
      <c r="G104" s="7"/>
      <c r="H104" s="6"/>
      <c r="I104" s="7"/>
      <c r="J104" s="6"/>
      <c r="K104" s="7"/>
      <c r="L104" s="6"/>
      <c r="M104" s="7"/>
      <c r="N104" s="6"/>
      <c r="O104" s="7"/>
      <c r="P104" s="6"/>
      <c r="Q104" s="7"/>
      <c r="R104" s="6"/>
      <c r="S104" s="7"/>
      <c r="T104" s="6"/>
      <c r="U104" s="7"/>
      <c r="V104" s="6"/>
      <c r="W104" s="7"/>
      <c r="X104" s="6"/>
      <c r="Y104" s="7"/>
      <c r="Z104" s="6"/>
      <c r="AA104" s="7"/>
      <c r="AB104" s="6"/>
      <c r="AC104" s="7"/>
      <c r="AD104" s="6"/>
      <c r="AE104" s="7"/>
      <c r="AF104" s="6"/>
      <c r="AG104" s="7"/>
      <c r="AH104" s="6"/>
      <c r="AI104" s="7"/>
      <c r="AJ104" s="6"/>
      <c r="AK104" s="7"/>
      <c r="AL104" s="6"/>
      <c r="AM104" s="7"/>
      <c r="AN104" s="6"/>
      <c r="AO104" s="7"/>
      <c r="AP104" s="6"/>
      <c r="AQ104" s="7"/>
      <c r="AR104" s="6"/>
      <c r="AS104" s="7"/>
      <c r="AT104" s="6"/>
      <c r="AU104" s="7"/>
      <c r="AV104" s="6"/>
      <c r="AW104" s="7"/>
      <c r="AX104" s="6"/>
      <c r="AY104" s="7"/>
      <c r="AZ104" s="6"/>
      <c r="BA104" s="7"/>
      <c r="BB104" s="6"/>
      <c r="BC104" s="7"/>
      <c r="BD104" s="6"/>
      <c r="BE104" s="7"/>
      <c r="BF104" s="6"/>
      <c r="BG104" s="7"/>
      <c r="BH104" s="6"/>
      <c r="BI104" s="7"/>
      <c r="BJ104" s="6"/>
      <c r="BK104" s="7"/>
      <c r="BL104" s="6"/>
      <c r="BM104" s="7"/>
      <c r="BN104" s="6"/>
      <c r="BO104" s="7"/>
      <c r="BP104" s="6"/>
      <c r="BQ104" s="7"/>
    </row>
    <row r="105" spans="1:69">
      <c r="A105" s="4"/>
      <c r="B105" s="4"/>
      <c r="C105" s="4"/>
      <c r="D105" s="4"/>
      <c r="E105" s="4"/>
      <c r="F105" s="4" t="s">
        <v>186</v>
      </c>
      <c r="G105" s="7">
        <v>13909</v>
      </c>
      <c r="H105" s="6"/>
      <c r="I105" s="7">
        <v>0</v>
      </c>
      <c r="J105" s="6"/>
      <c r="K105" s="7">
        <v>0</v>
      </c>
      <c r="L105" s="6"/>
      <c r="M105" s="7">
        <v>0</v>
      </c>
      <c r="N105" s="6"/>
      <c r="O105" s="7">
        <v>0</v>
      </c>
      <c r="P105" s="6"/>
      <c r="Q105" s="7">
        <v>0</v>
      </c>
      <c r="R105" s="6"/>
      <c r="S105" s="7">
        <v>0</v>
      </c>
      <c r="T105" s="6"/>
      <c r="U105" s="7">
        <v>0</v>
      </c>
      <c r="V105" s="6"/>
      <c r="W105" s="7">
        <v>0</v>
      </c>
      <c r="X105" s="6"/>
      <c r="Y105" s="7">
        <v>0</v>
      </c>
      <c r="Z105" s="6"/>
      <c r="AA105" s="7">
        <v>0</v>
      </c>
      <c r="AB105" s="6"/>
      <c r="AC105" s="7">
        <v>0</v>
      </c>
      <c r="AD105" s="6"/>
      <c r="AE105" s="7">
        <v>0</v>
      </c>
      <c r="AF105" s="6"/>
      <c r="AG105" s="7">
        <v>0</v>
      </c>
      <c r="AH105" s="6"/>
      <c r="AI105" s="7">
        <v>0</v>
      </c>
      <c r="AJ105" s="6"/>
      <c r="AK105" s="7">
        <v>0</v>
      </c>
      <c r="AL105" s="6"/>
      <c r="AM105" s="7">
        <v>0</v>
      </c>
      <c r="AN105" s="6"/>
      <c r="AO105" s="7">
        <v>0</v>
      </c>
      <c r="AP105" s="6"/>
      <c r="AQ105" s="7">
        <v>0</v>
      </c>
      <c r="AR105" s="6"/>
      <c r="AS105" s="7">
        <v>0</v>
      </c>
      <c r="AT105" s="6"/>
      <c r="AU105" s="7">
        <v>0</v>
      </c>
      <c r="AV105" s="6"/>
      <c r="AW105" s="7">
        <v>0</v>
      </c>
      <c r="AX105" s="6"/>
      <c r="AY105" s="7">
        <v>0</v>
      </c>
      <c r="AZ105" s="6"/>
      <c r="BA105" s="7">
        <v>0</v>
      </c>
      <c r="BB105" s="6"/>
      <c r="BC105" s="7">
        <v>0</v>
      </c>
      <c r="BD105" s="6"/>
      <c r="BE105" s="7">
        <v>0</v>
      </c>
      <c r="BF105" s="6"/>
      <c r="BG105" s="7">
        <v>0</v>
      </c>
      <c r="BH105" s="6"/>
      <c r="BI105" s="7">
        <v>0</v>
      </c>
      <c r="BJ105" s="6"/>
      <c r="BK105" s="7">
        <v>0</v>
      </c>
      <c r="BL105" s="6"/>
      <c r="BM105" s="7">
        <v>0</v>
      </c>
      <c r="BN105" s="6"/>
      <c r="BO105" s="7">
        <v>0</v>
      </c>
      <c r="BP105" s="6"/>
      <c r="BQ105" s="7">
        <f>ROUND(SUM(G105:BO105),5)</f>
        <v>13909</v>
      </c>
    </row>
    <row r="106" spans="1:69">
      <c r="A106" s="4"/>
      <c r="B106" s="4"/>
      <c r="C106" s="4"/>
      <c r="D106" s="4"/>
      <c r="E106" s="4"/>
      <c r="F106" s="4" t="s">
        <v>187</v>
      </c>
      <c r="G106" s="7">
        <v>25989.43</v>
      </c>
      <c r="H106" s="6"/>
      <c r="I106" s="7">
        <v>0</v>
      </c>
      <c r="J106" s="6"/>
      <c r="K106" s="7">
        <v>0</v>
      </c>
      <c r="L106" s="6"/>
      <c r="M106" s="7">
        <v>0</v>
      </c>
      <c r="N106" s="6"/>
      <c r="O106" s="7">
        <v>0</v>
      </c>
      <c r="P106" s="6"/>
      <c r="Q106" s="7">
        <v>0</v>
      </c>
      <c r="R106" s="6"/>
      <c r="S106" s="7">
        <v>0</v>
      </c>
      <c r="T106" s="6"/>
      <c r="U106" s="7">
        <v>0</v>
      </c>
      <c r="V106" s="6"/>
      <c r="W106" s="7">
        <v>0</v>
      </c>
      <c r="X106" s="6"/>
      <c r="Y106" s="7">
        <v>0</v>
      </c>
      <c r="Z106" s="6"/>
      <c r="AA106" s="7">
        <v>0</v>
      </c>
      <c r="AB106" s="6"/>
      <c r="AC106" s="7">
        <v>0</v>
      </c>
      <c r="AD106" s="6"/>
      <c r="AE106" s="7">
        <v>0</v>
      </c>
      <c r="AF106" s="6"/>
      <c r="AG106" s="7">
        <v>0</v>
      </c>
      <c r="AH106" s="6"/>
      <c r="AI106" s="7">
        <v>0</v>
      </c>
      <c r="AJ106" s="6"/>
      <c r="AK106" s="7">
        <v>0</v>
      </c>
      <c r="AL106" s="6"/>
      <c r="AM106" s="7">
        <v>0</v>
      </c>
      <c r="AN106" s="6"/>
      <c r="AO106" s="7">
        <v>0</v>
      </c>
      <c r="AP106" s="6"/>
      <c r="AQ106" s="7">
        <v>0</v>
      </c>
      <c r="AR106" s="6"/>
      <c r="AS106" s="7">
        <v>0</v>
      </c>
      <c r="AT106" s="6"/>
      <c r="AU106" s="7">
        <v>0</v>
      </c>
      <c r="AV106" s="6"/>
      <c r="AW106" s="7">
        <v>0</v>
      </c>
      <c r="AX106" s="6"/>
      <c r="AY106" s="7">
        <v>0</v>
      </c>
      <c r="AZ106" s="6"/>
      <c r="BA106" s="7">
        <v>0</v>
      </c>
      <c r="BB106" s="6"/>
      <c r="BC106" s="7">
        <v>0</v>
      </c>
      <c r="BD106" s="6"/>
      <c r="BE106" s="7">
        <v>0</v>
      </c>
      <c r="BF106" s="6"/>
      <c r="BG106" s="7">
        <v>0</v>
      </c>
      <c r="BH106" s="6"/>
      <c r="BI106" s="7">
        <v>0</v>
      </c>
      <c r="BJ106" s="6"/>
      <c r="BK106" s="7">
        <v>0</v>
      </c>
      <c r="BL106" s="6"/>
      <c r="BM106" s="7">
        <v>0</v>
      </c>
      <c r="BN106" s="6"/>
      <c r="BO106" s="7">
        <v>0</v>
      </c>
      <c r="BP106" s="6"/>
      <c r="BQ106" s="7">
        <f>ROUND(SUM(G106:BO106),5)</f>
        <v>25989.43</v>
      </c>
    </row>
    <row r="107" spans="1:69">
      <c r="A107" s="4"/>
      <c r="B107" s="4"/>
      <c r="C107" s="4"/>
      <c r="D107" s="4"/>
      <c r="E107" s="4"/>
      <c r="F107" s="4" t="s">
        <v>188</v>
      </c>
      <c r="G107" s="7">
        <v>539.88</v>
      </c>
      <c r="H107" s="6"/>
      <c r="I107" s="7">
        <v>0</v>
      </c>
      <c r="J107" s="6"/>
      <c r="K107" s="7">
        <v>0</v>
      </c>
      <c r="L107" s="6"/>
      <c r="M107" s="7">
        <v>0</v>
      </c>
      <c r="N107" s="6"/>
      <c r="O107" s="7">
        <v>0</v>
      </c>
      <c r="P107" s="6"/>
      <c r="Q107" s="7">
        <v>0</v>
      </c>
      <c r="R107" s="6"/>
      <c r="S107" s="7">
        <v>0</v>
      </c>
      <c r="T107" s="6"/>
      <c r="U107" s="7">
        <v>0</v>
      </c>
      <c r="V107" s="6"/>
      <c r="W107" s="7">
        <v>0</v>
      </c>
      <c r="X107" s="6"/>
      <c r="Y107" s="7">
        <v>0</v>
      </c>
      <c r="Z107" s="6"/>
      <c r="AA107" s="7">
        <v>0</v>
      </c>
      <c r="AB107" s="6"/>
      <c r="AC107" s="7">
        <v>0</v>
      </c>
      <c r="AD107" s="6"/>
      <c r="AE107" s="7">
        <v>0</v>
      </c>
      <c r="AF107" s="6"/>
      <c r="AG107" s="7">
        <v>0</v>
      </c>
      <c r="AH107" s="6"/>
      <c r="AI107" s="7">
        <v>0</v>
      </c>
      <c r="AJ107" s="6"/>
      <c r="AK107" s="7">
        <v>0</v>
      </c>
      <c r="AL107" s="6"/>
      <c r="AM107" s="7">
        <v>0</v>
      </c>
      <c r="AN107" s="6"/>
      <c r="AO107" s="7">
        <v>0</v>
      </c>
      <c r="AP107" s="6"/>
      <c r="AQ107" s="7">
        <v>0</v>
      </c>
      <c r="AR107" s="6"/>
      <c r="AS107" s="7">
        <v>0</v>
      </c>
      <c r="AT107" s="6"/>
      <c r="AU107" s="7">
        <v>0</v>
      </c>
      <c r="AV107" s="6"/>
      <c r="AW107" s="7">
        <v>0</v>
      </c>
      <c r="AX107" s="6"/>
      <c r="AY107" s="7">
        <v>0</v>
      </c>
      <c r="AZ107" s="6"/>
      <c r="BA107" s="7">
        <v>0</v>
      </c>
      <c r="BB107" s="6"/>
      <c r="BC107" s="7">
        <v>0</v>
      </c>
      <c r="BD107" s="6"/>
      <c r="BE107" s="7">
        <v>0</v>
      </c>
      <c r="BF107" s="6"/>
      <c r="BG107" s="7">
        <v>0</v>
      </c>
      <c r="BH107" s="6"/>
      <c r="BI107" s="7">
        <v>0</v>
      </c>
      <c r="BJ107" s="6"/>
      <c r="BK107" s="7">
        <v>0</v>
      </c>
      <c r="BL107" s="6"/>
      <c r="BM107" s="7">
        <v>0</v>
      </c>
      <c r="BN107" s="6"/>
      <c r="BO107" s="7">
        <v>0</v>
      </c>
      <c r="BP107" s="6"/>
      <c r="BQ107" s="7">
        <f>ROUND(SUM(G107:BO107),5)</f>
        <v>539.88</v>
      </c>
    </row>
    <row r="108" spans="1:69">
      <c r="A108" s="4"/>
      <c r="B108" s="4"/>
      <c r="C108" s="4"/>
      <c r="D108" s="4"/>
      <c r="E108" s="4"/>
      <c r="F108" s="4" t="s">
        <v>189</v>
      </c>
      <c r="G108" s="7">
        <v>644.08000000000004</v>
      </c>
      <c r="H108" s="6"/>
      <c r="I108" s="7">
        <v>0</v>
      </c>
      <c r="J108" s="6"/>
      <c r="K108" s="7">
        <v>0</v>
      </c>
      <c r="L108" s="6"/>
      <c r="M108" s="7">
        <v>0</v>
      </c>
      <c r="N108" s="6"/>
      <c r="O108" s="7">
        <v>0</v>
      </c>
      <c r="P108" s="6"/>
      <c r="Q108" s="7">
        <v>0</v>
      </c>
      <c r="R108" s="6"/>
      <c r="S108" s="7">
        <v>0</v>
      </c>
      <c r="T108" s="6"/>
      <c r="U108" s="7">
        <v>0</v>
      </c>
      <c r="V108" s="6"/>
      <c r="W108" s="7">
        <v>0</v>
      </c>
      <c r="X108" s="6"/>
      <c r="Y108" s="7">
        <v>0</v>
      </c>
      <c r="Z108" s="6"/>
      <c r="AA108" s="7">
        <v>0</v>
      </c>
      <c r="AB108" s="6"/>
      <c r="AC108" s="7">
        <v>0</v>
      </c>
      <c r="AD108" s="6"/>
      <c r="AE108" s="7">
        <v>0</v>
      </c>
      <c r="AF108" s="6"/>
      <c r="AG108" s="7">
        <v>0</v>
      </c>
      <c r="AH108" s="6"/>
      <c r="AI108" s="7">
        <v>0</v>
      </c>
      <c r="AJ108" s="6"/>
      <c r="AK108" s="7">
        <v>0</v>
      </c>
      <c r="AL108" s="6"/>
      <c r="AM108" s="7">
        <v>0</v>
      </c>
      <c r="AN108" s="6"/>
      <c r="AO108" s="7">
        <v>0</v>
      </c>
      <c r="AP108" s="6"/>
      <c r="AQ108" s="7">
        <v>0</v>
      </c>
      <c r="AR108" s="6"/>
      <c r="AS108" s="7">
        <v>0</v>
      </c>
      <c r="AT108" s="6"/>
      <c r="AU108" s="7">
        <v>0</v>
      </c>
      <c r="AV108" s="6"/>
      <c r="AW108" s="7">
        <v>0</v>
      </c>
      <c r="AX108" s="6"/>
      <c r="AY108" s="7">
        <v>0</v>
      </c>
      <c r="AZ108" s="6"/>
      <c r="BA108" s="7">
        <v>0</v>
      </c>
      <c r="BB108" s="6"/>
      <c r="BC108" s="7">
        <v>0</v>
      </c>
      <c r="BD108" s="6"/>
      <c r="BE108" s="7">
        <v>0</v>
      </c>
      <c r="BF108" s="6"/>
      <c r="BG108" s="7">
        <v>0</v>
      </c>
      <c r="BH108" s="6"/>
      <c r="BI108" s="7">
        <v>0</v>
      </c>
      <c r="BJ108" s="6"/>
      <c r="BK108" s="7">
        <v>0</v>
      </c>
      <c r="BL108" s="6"/>
      <c r="BM108" s="7">
        <v>0</v>
      </c>
      <c r="BN108" s="6"/>
      <c r="BO108" s="7">
        <v>0</v>
      </c>
      <c r="BP108" s="6"/>
      <c r="BQ108" s="7">
        <f>ROUND(SUM(G108:BO108),5)</f>
        <v>644.08000000000004</v>
      </c>
    </row>
    <row r="109" spans="1:69" ht="15.75" thickBot="1">
      <c r="A109" s="4"/>
      <c r="B109" s="4"/>
      <c r="C109" s="4"/>
      <c r="D109" s="4"/>
      <c r="E109" s="4"/>
      <c r="F109" s="4" t="s">
        <v>190</v>
      </c>
      <c r="G109" s="9">
        <v>3171</v>
      </c>
      <c r="H109" s="6"/>
      <c r="I109" s="9">
        <v>0</v>
      </c>
      <c r="J109" s="6"/>
      <c r="K109" s="9">
        <v>0</v>
      </c>
      <c r="L109" s="6"/>
      <c r="M109" s="9">
        <v>0</v>
      </c>
      <c r="N109" s="6"/>
      <c r="O109" s="9">
        <v>0</v>
      </c>
      <c r="P109" s="6"/>
      <c r="Q109" s="9">
        <v>0</v>
      </c>
      <c r="R109" s="6"/>
      <c r="S109" s="9">
        <v>0</v>
      </c>
      <c r="T109" s="6"/>
      <c r="U109" s="9">
        <v>0</v>
      </c>
      <c r="V109" s="6"/>
      <c r="W109" s="9">
        <v>0</v>
      </c>
      <c r="X109" s="6"/>
      <c r="Y109" s="9">
        <v>0</v>
      </c>
      <c r="Z109" s="6"/>
      <c r="AA109" s="9">
        <v>0</v>
      </c>
      <c r="AB109" s="6"/>
      <c r="AC109" s="9">
        <v>0</v>
      </c>
      <c r="AD109" s="6"/>
      <c r="AE109" s="9">
        <v>0</v>
      </c>
      <c r="AF109" s="6"/>
      <c r="AG109" s="9">
        <v>0</v>
      </c>
      <c r="AH109" s="6"/>
      <c r="AI109" s="9">
        <v>0</v>
      </c>
      <c r="AJ109" s="6"/>
      <c r="AK109" s="9">
        <v>0</v>
      </c>
      <c r="AL109" s="6"/>
      <c r="AM109" s="9">
        <v>0</v>
      </c>
      <c r="AN109" s="6"/>
      <c r="AO109" s="9">
        <v>0</v>
      </c>
      <c r="AP109" s="6"/>
      <c r="AQ109" s="9">
        <v>0</v>
      </c>
      <c r="AR109" s="6"/>
      <c r="AS109" s="9">
        <v>0</v>
      </c>
      <c r="AT109" s="6"/>
      <c r="AU109" s="9">
        <v>0</v>
      </c>
      <c r="AV109" s="6"/>
      <c r="AW109" s="9">
        <v>0</v>
      </c>
      <c r="AX109" s="6"/>
      <c r="AY109" s="9">
        <v>0</v>
      </c>
      <c r="AZ109" s="6"/>
      <c r="BA109" s="9">
        <v>0</v>
      </c>
      <c r="BB109" s="6"/>
      <c r="BC109" s="9">
        <v>0</v>
      </c>
      <c r="BD109" s="6"/>
      <c r="BE109" s="9">
        <v>0</v>
      </c>
      <c r="BF109" s="6"/>
      <c r="BG109" s="9">
        <v>0</v>
      </c>
      <c r="BH109" s="6"/>
      <c r="BI109" s="9">
        <v>0</v>
      </c>
      <c r="BJ109" s="6"/>
      <c r="BK109" s="9">
        <v>0</v>
      </c>
      <c r="BL109" s="6"/>
      <c r="BM109" s="9">
        <v>0</v>
      </c>
      <c r="BN109" s="6"/>
      <c r="BO109" s="9">
        <v>0</v>
      </c>
      <c r="BP109" s="6"/>
      <c r="BQ109" s="9">
        <f>ROUND(SUM(G109:BO109),5)</f>
        <v>3171</v>
      </c>
    </row>
    <row r="110" spans="1:69">
      <c r="A110" s="4"/>
      <c r="B110" s="4"/>
      <c r="C110" s="4"/>
      <c r="D110" s="4"/>
      <c r="E110" s="4" t="s">
        <v>191</v>
      </c>
      <c r="F110" s="4"/>
      <c r="G110" s="7">
        <f>ROUND(SUM(G104:G109),5)</f>
        <v>44253.39</v>
      </c>
      <c r="H110" s="6"/>
      <c r="I110" s="7">
        <f>ROUND(SUM(I104:I109),5)</f>
        <v>0</v>
      </c>
      <c r="J110" s="6"/>
      <c r="K110" s="7">
        <f>ROUND(SUM(K104:K109),5)</f>
        <v>0</v>
      </c>
      <c r="L110" s="6"/>
      <c r="M110" s="7">
        <f>ROUND(SUM(M104:M109),5)</f>
        <v>0</v>
      </c>
      <c r="N110" s="6"/>
      <c r="O110" s="7">
        <f>ROUND(SUM(O104:O109),5)</f>
        <v>0</v>
      </c>
      <c r="P110" s="6"/>
      <c r="Q110" s="7">
        <f>ROUND(SUM(Q104:Q109),5)</f>
        <v>0</v>
      </c>
      <c r="R110" s="6"/>
      <c r="S110" s="7">
        <f>ROUND(SUM(S104:S109),5)</f>
        <v>0</v>
      </c>
      <c r="T110" s="6"/>
      <c r="U110" s="7">
        <f>ROUND(SUM(U104:U109),5)</f>
        <v>0</v>
      </c>
      <c r="V110" s="6"/>
      <c r="W110" s="7">
        <f>ROUND(SUM(W104:W109),5)</f>
        <v>0</v>
      </c>
      <c r="X110" s="6"/>
      <c r="Y110" s="7">
        <f>ROUND(SUM(Y104:Y109),5)</f>
        <v>0</v>
      </c>
      <c r="Z110" s="6"/>
      <c r="AA110" s="7">
        <f>ROUND(SUM(AA104:AA109),5)</f>
        <v>0</v>
      </c>
      <c r="AB110" s="6"/>
      <c r="AC110" s="7">
        <f>ROUND(SUM(AC104:AC109),5)</f>
        <v>0</v>
      </c>
      <c r="AD110" s="6"/>
      <c r="AE110" s="7">
        <f>ROUND(SUM(AE104:AE109),5)</f>
        <v>0</v>
      </c>
      <c r="AF110" s="6"/>
      <c r="AG110" s="7">
        <f>ROUND(SUM(AG104:AG109),5)</f>
        <v>0</v>
      </c>
      <c r="AH110" s="6"/>
      <c r="AI110" s="7">
        <f>ROUND(SUM(AI104:AI109),5)</f>
        <v>0</v>
      </c>
      <c r="AJ110" s="6"/>
      <c r="AK110" s="7">
        <f>ROUND(SUM(AK104:AK109),5)</f>
        <v>0</v>
      </c>
      <c r="AL110" s="6"/>
      <c r="AM110" s="7">
        <f>ROUND(SUM(AM104:AM109),5)</f>
        <v>0</v>
      </c>
      <c r="AN110" s="6"/>
      <c r="AO110" s="7">
        <f>ROUND(SUM(AO104:AO109),5)</f>
        <v>0</v>
      </c>
      <c r="AP110" s="6"/>
      <c r="AQ110" s="7">
        <f>ROUND(SUM(AQ104:AQ109),5)</f>
        <v>0</v>
      </c>
      <c r="AR110" s="6"/>
      <c r="AS110" s="7">
        <f>ROUND(SUM(AS104:AS109),5)</f>
        <v>0</v>
      </c>
      <c r="AT110" s="6"/>
      <c r="AU110" s="7">
        <f>ROUND(SUM(AU104:AU109),5)</f>
        <v>0</v>
      </c>
      <c r="AV110" s="6"/>
      <c r="AW110" s="7">
        <f>ROUND(SUM(AW104:AW109),5)</f>
        <v>0</v>
      </c>
      <c r="AX110" s="6"/>
      <c r="AY110" s="7">
        <f>ROUND(SUM(AY104:AY109),5)</f>
        <v>0</v>
      </c>
      <c r="AZ110" s="6"/>
      <c r="BA110" s="7">
        <f>ROUND(SUM(BA104:BA109),5)</f>
        <v>0</v>
      </c>
      <c r="BB110" s="6"/>
      <c r="BC110" s="7">
        <f>ROUND(SUM(BC104:BC109),5)</f>
        <v>0</v>
      </c>
      <c r="BD110" s="6"/>
      <c r="BE110" s="7">
        <f>ROUND(SUM(BE104:BE109),5)</f>
        <v>0</v>
      </c>
      <c r="BF110" s="6"/>
      <c r="BG110" s="7">
        <f>ROUND(SUM(BG104:BG109),5)</f>
        <v>0</v>
      </c>
      <c r="BH110" s="6"/>
      <c r="BI110" s="7">
        <f>ROUND(SUM(BI104:BI109),5)</f>
        <v>0</v>
      </c>
      <c r="BJ110" s="6"/>
      <c r="BK110" s="7">
        <f>ROUND(SUM(BK104:BK109),5)</f>
        <v>0</v>
      </c>
      <c r="BL110" s="6"/>
      <c r="BM110" s="7">
        <f>ROUND(SUM(BM104:BM109),5)</f>
        <v>0</v>
      </c>
      <c r="BN110" s="6"/>
      <c r="BO110" s="7">
        <f>ROUND(SUM(BO104:BO109),5)</f>
        <v>0</v>
      </c>
      <c r="BP110" s="6"/>
      <c r="BQ110" s="7">
        <f>ROUND(SUM(G110:BO110),5)</f>
        <v>44253.39</v>
      </c>
    </row>
    <row r="111" spans="1:69">
      <c r="A111" s="4"/>
      <c r="B111" s="4"/>
      <c r="C111" s="4"/>
      <c r="D111" s="4"/>
      <c r="E111" s="4" t="s">
        <v>192</v>
      </c>
      <c r="F111" s="4"/>
      <c r="G111" s="7"/>
      <c r="H111" s="6"/>
      <c r="I111" s="7"/>
      <c r="J111" s="6"/>
      <c r="K111" s="7"/>
      <c r="L111" s="6"/>
      <c r="M111" s="7"/>
      <c r="N111" s="6"/>
      <c r="O111" s="7"/>
      <c r="P111" s="6"/>
      <c r="Q111" s="7"/>
      <c r="R111" s="6"/>
      <c r="S111" s="7"/>
      <c r="T111" s="6"/>
      <c r="U111" s="7"/>
      <c r="V111" s="6"/>
      <c r="W111" s="7"/>
      <c r="X111" s="6"/>
      <c r="Y111" s="7"/>
      <c r="Z111" s="6"/>
      <c r="AA111" s="7"/>
      <c r="AB111" s="6"/>
      <c r="AC111" s="7"/>
      <c r="AD111" s="6"/>
      <c r="AE111" s="7"/>
      <c r="AF111" s="6"/>
      <c r="AG111" s="7"/>
      <c r="AH111" s="6"/>
      <c r="AI111" s="7"/>
      <c r="AJ111" s="6"/>
      <c r="AK111" s="7"/>
      <c r="AL111" s="6"/>
      <c r="AM111" s="7"/>
      <c r="AN111" s="6"/>
      <c r="AO111" s="7"/>
      <c r="AP111" s="6"/>
      <c r="AQ111" s="7"/>
      <c r="AR111" s="6"/>
      <c r="AS111" s="7"/>
      <c r="AT111" s="6"/>
      <c r="AU111" s="7"/>
      <c r="AV111" s="6"/>
      <c r="AW111" s="7"/>
      <c r="AX111" s="6"/>
      <c r="AY111" s="7"/>
      <c r="AZ111" s="6"/>
      <c r="BA111" s="7"/>
      <c r="BB111" s="6"/>
      <c r="BC111" s="7"/>
      <c r="BD111" s="6"/>
      <c r="BE111" s="7"/>
      <c r="BF111" s="6"/>
      <c r="BG111" s="7"/>
      <c r="BH111" s="6"/>
      <c r="BI111" s="7"/>
      <c r="BJ111" s="6"/>
      <c r="BK111" s="7"/>
      <c r="BL111" s="6"/>
      <c r="BM111" s="7"/>
      <c r="BN111" s="6"/>
      <c r="BO111" s="7"/>
      <c r="BP111" s="6"/>
      <c r="BQ111" s="7"/>
    </row>
    <row r="112" spans="1:69">
      <c r="A112" s="4"/>
      <c r="B112" s="4"/>
      <c r="C112" s="4"/>
      <c r="D112" s="4"/>
      <c r="E112" s="4"/>
      <c r="F112" s="4" t="s">
        <v>193</v>
      </c>
      <c r="G112" s="7">
        <v>0</v>
      </c>
      <c r="H112" s="6"/>
      <c r="I112" s="7">
        <v>0</v>
      </c>
      <c r="J112" s="6"/>
      <c r="K112" s="7">
        <v>0</v>
      </c>
      <c r="L112" s="6"/>
      <c r="M112" s="7">
        <v>0</v>
      </c>
      <c r="N112" s="6"/>
      <c r="O112" s="7">
        <v>0</v>
      </c>
      <c r="P112" s="6"/>
      <c r="Q112" s="7">
        <v>0</v>
      </c>
      <c r="R112" s="6"/>
      <c r="S112" s="7">
        <v>0</v>
      </c>
      <c r="T112" s="6"/>
      <c r="U112" s="7">
        <v>0</v>
      </c>
      <c r="V112" s="6"/>
      <c r="W112" s="7">
        <v>0</v>
      </c>
      <c r="X112" s="6"/>
      <c r="Y112" s="7">
        <v>0</v>
      </c>
      <c r="Z112" s="6"/>
      <c r="AA112" s="7">
        <v>0</v>
      </c>
      <c r="AB112" s="6"/>
      <c r="AC112" s="7">
        <v>0</v>
      </c>
      <c r="AD112" s="6"/>
      <c r="AE112" s="7">
        <v>0</v>
      </c>
      <c r="AF112" s="6"/>
      <c r="AG112" s="7">
        <v>22935.07</v>
      </c>
      <c r="AH112" s="6"/>
      <c r="AI112" s="7">
        <v>0</v>
      </c>
      <c r="AJ112" s="6"/>
      <c r="AK112" s="7">
        <v>0</v>
      </c>
      <c r="AL112" s="6"/>
      <c r="AM112" s="7">
        <v>0</v>
      </c>
      <c r="AN112" s="6"/>
      <c r="AO112" s="7">
        <v>0</v>
      </c>
      <c r="AP112" s="6"/>
      <c r="AQ112" s="7">
        <v>0</v>
      </c>
      <c r="AR112" s="6"/>
      <c r="AS112" s="7">
        <v>0</v>
      </c>
      <c r="AT112" s="6"/>
      <c r="AU112" s="7">
        <v>0</v>
      </c>
      <c r="AV112" s="6"/>
      <c r="AW112" s="7">
        <v>0</v>
      </c>
      <c r="AX112" s="6"/>
      <c r="AY112" s="7">
        <v>0</v>
      </c>
      <c r="AZ112" s="6"/>
      <c r="BA112" s="7">
        <v>0</v>
      </c>
      <c r="BB112" s="6"/>
      <c r="BC112" s="7">
        <v>0</v>
      </c>
      <c r="BD112" s="6"/>
      <c r="BE112" s="7">
        <v>0</v>
      </c>
      <c r="BF112" s="6"/>
      <c r="BG112" s="7">
        <v>0</v>
      </c>
      <c r="BH112" s="6"/>
      <c r="BI112" s="7">
        <v>0</v>
      </c>
      <c r="BJ112" s="6"/>
      <c r="BK112" s="7">
        <v>0</v>
      </c>
      <c r="BL112" s="6"/>
      <c r="BM112" s="7">
        <v>0</v>
      </c>
      <c r="BN112" s="6"/>
      <c r="BO112" s="7">
        <v>0</v>
      </c>
      <c r="BP112" s="6"/>
      <c r="BQ112" s="7">
        <f>ROUND(SUM(G112:BO112),5)</f>
        <v>22935.07</v>
      </c>
    </row>
    <row r="113" spans="1:69" ht="15.75" thickBot="1">
      <c r="A113" s="4"/>
      <c r="B113" s="4"/>
      <c r="C113" s="4"/>
      <c r="D113" s="4"/>
      <c r="E113" s="4"/>
      <c r="F113" s="4" t="s">
        <v>194</v>
      </c>
      <c r="G113" s="9">
        <v>0</v>
      </c>
      <c r="H113" s="6"/>
      <c r="I113" s="9">
        <v>0</v>
      </c>
      <c r="J113" s="6"/>
      <c r="K113" s="9">
        <v>0</v>
      </c>
      <c r="L113" s="6"/>
      <c r="M113" s="9">
        <v>0</v>
      </c>
      <c r="N113" s="6"/>
      <c r="O113" s="9">
        <v>0</v>
      </c>
      <c r="P113" s="6"/>
      <c r="Q113" s="9">
        <v>0</v>
      </c>
      <c r="R113" s="6"/>
      <c r="S113" s="9">
        <v>0</v>
      </c>
      <c r="T113" s="6"/>
      <c r="U113" s="9">
        <v>0</v>
      </c>
      <c r="V113" s="6"/>
      <c r="W113" s="9">
        <v>0</v>
      </c>
      <c r="X113" s="6"/>
      <c r="Y113" s="9">
        <v>0</v>
      </c>
      <c r="Z113" s="6"/>
      <c r="AA113" s="9">
        <v>0</v>
      </c>
      <c r="AB113" s="6"/>
      <c r="AC113" s="9">
        <v>0</v>
      </c>
      <c r="AD113" s="6"/>
      <c r="AE113" s="9">
        <v>0</v>
      </c>
      <c r="AF113" s="6"/>
      <c r="AG113" s="9">
        <v>903.1</v>
      </c>
      <c r="AH113" s="6"/>
      <c r="AI113" s="9">
        <v>69.16</v>
      </c>
      <c r="AJ113" s="6"/>
      <c r="AK113" s="9">
        <v>0</v>
      </c>
      <c r="AL113" s="6"/>
      <c r="AM113" s="9">
        <v>0</v>
      </c>
      <c r="AN113" s="6"/>
      <c r="AO113" s="9">
        <v>0</v>
      </c>
      <c r="AP113" s="6"/>
      <c r="AQ113" s="9">
        <v>0</v>
      </c>
      <c r="AR113" s="6"/>
      <c r="AS113" s="9">
        <v>0</v>
      </c>
      <c r="AT113" s="6"/>
      <c r="AU113" s="9">
        <v>0</v>
      </c>
      <c r="AV113" s="6"/>
      <c r="AW113" s="9">
        <v>0</v>
      </c>
      <c r="AX113" s="6"/>
      <c r="AY113" s="9">
        <v>0</v>
      </c>
      <c r="AZ113" s="6"/>
      <c r="BA113" s="9">
        <v>0</v>
      </c>
      <c r="BB113" s="6"/>
      <c r="BC113" s="9">
        <v>0</v>
      </c>
      <c r="BD113" s="6"/>
      <c r="BE113" s="9">
        <v>0</v>
      </c>
      <c r="BF113" s="6"/>
      <c r="BG113" s="9">
        <v>0</v>
      </c>
      <c r="BH113" s="6"/>
      <c r="BI113" s="9">
        <v>0</v>
      </c>
      <c r="BJ113" s="6"/>
      <c r="BK113" s="9">
        <v>0</v>
      </c>
      <c r="BL113" s="6"/>
      <c r="BM113" s="9">
        <v>0</v>
      </c>
      <c r="BN113" s="6"/>
      <c r="BO113" s="9">
        <v>0</v>
      </c>
      <c r="BP113" s="6"/>
      <c r="BQ113" s="9">
        <f>ROUND(SUM(G113:BO113),5)</f>
        <v>972.26</v>
      </c>
    </row>
    <row r="114" spans="1:69">
      <c r="A114" s="4"/>
      <c r="B114" s="4"/>
      <c r="C114" s="4"/>
      <c r="D114" s="4"/>
      <c r="E114" s="4" t="s">
        <v>195</v>
      </c>
      <c r="F114" s="4"/>
      <c r="G114" s="7">
        <f>ROUND(SUM(G111:G113),5)</f>
        <v>0</v>
      </c>
      <c r="H114" s="6"/>
      <c r="I114" s="7">
        <f>ROUND(SUM(I111:I113),5)</f>
        <v>0</v>
      </c>
      <c r="J114" s="6"/>
      <c r="K114" s="7">
        <f>ROUND(SUM(K111:K113),5)</f>
        <v>0</v>
      </c>
      <c r="L114" s="6"/>
      <c r="M114" s="7">
        <f>ROUND(SUM(M111:M113),5)</f>
        <v>0</v>
      </c>
      <c r="N114" s="6"/>
      <c r="O114" s="7">
        <f>ROUND(SUM(O111:O113),5)</f>
        <v>0</v>
      </c>
      <c r="P114" s="6"/>
      <c r="Q114" s="7">
        <f>ROUND(SUM(Q111:Q113),5)</f>
        <v>0</v>
      </c>
      <c r="R114" s="6"/>
      <c r="S114" s="7">
        <f>ROUND(SUM(S111:S113),5)</f>
        <v>0</v>
      </c>
      <c r="T114" s="6"/>
      <c r="U114" s="7">
        <f>ROUND(SUM(U111:U113),5)</f>
        <v>0</v>
      </c>
      <c r="V114" s="6"/>
      <c r="W114" s="7">
        <f>ROUND(SUM(W111:W113),5)</f>
        <v>0</v>
      </c>
      <c r="X114" s="6"/>
      <c r="Y114" s="7">
        <f>ROUND(SUM(Y111:Y113),5)</f>
        <v>0</v>
      </c>
      <c r="Z114" s="6"/>
      <c r="AA114" s="7">
        <f>ROUND(SUM(AA111:AA113),5)</f>
        <v>0</v>
      </c>
      <c r="AB114" s="6"/>
      <c r="AC114" s="7">
        <f>ROUND(SUM(AC111:AC113),5)</f>
        <v>0</v>
      </c>
      <c r="AD114" s="6"/>
      <c r="AE114" s="7">
        <f>ROUND(SUM(AE111:AE113),5)</f>
        <v>0</v>
      </c>
      <c r="AF114" s="6"/>
      <c r="AG114" s="7">
        <f>ROUND(SUM(AG111:AG113),5)</f>
        <v>23838.17</v>
      </c>
      <c r="AH114" s="6"/>
      <c r="AI114" s="7">
        <f>ROUND(SUM(AI111:AI113),5)</f>
        <v>69.16</v>
      </c>
      <c r="AJ114" s="6"/>
      <c r="AK114" s="7">
        <f>ROUND(SUM(AK111:AK113),5)</f>
        <v>0</v>
      </c>
      <c r="AL114" s="6"/>
      <c r="AM114" s="7">
        <f>ROUND(SUM(AM111:AM113),5)</f>
        <v>0</v>
      </c>
      <c r="AN114" s="6"/>
      <c r="AO114" s="7">
        <f>ROUND(SUM(AO111:AO113),5)</f>
        <v>0</v>
      </c>
      <c r="AP114" s="6"/>
      <c r="AQ114" s="7">
        <f>ROUND(SUM(AQ111:AQ113),5)</f>
        <v>0</v>
      </c>
      <c r="AR114" s="6"/>
      <c r="AS114" s="7">
        <f>ROUND(SUM(AS111:AS113),5)</f>
        <v>0</v>
      </c>
      <c r="AT114" s="6"/>
      <c r="AU114" s="7">
        <f>ROUND(SUM(AU111:AU113),5)</f>
        <v>0</v>
      </c>
      <c r="AV114" s="6"/>
      <c r="AW114" s="7">
        <f>ROUND(SUM(AW111:AW113),5)</f>
        <v>0</v>
      </c>
      <c r="AX114" s="6"/>
      <c r="AY114" s="7">
        <f>ROUND(SUM(AY111:AY113),5)</f>
        <v>0</v>
      </c>
      <c r="AZ114" s="6"/>
      <c r="BA114" s="7">
        <f>ROUND(SUM(BA111:BA113),5)</f>
        <v>0</v>
      </c>
      <c r="BB114" s="6"/>
      <c r="BC114" s="7">
        <f>ROUND(SUM(BC111:BC113),5)</f>
        <v>0</v>
      </c>
      <c r="BD114" s="6"/>
      <c r="BE114" s="7">
        <f>ROUND(SUM(BE111:BE113),5)</f>
        <v>0</v>
      </c>
      <c r="BF114" s="6"/>
      <c r="BG114" s="7">
        <f>ROUND(SUM(BG111:BG113),5)</f>
        <v>0</v>
      </c>
      <c r="BH114" s="6"/>
      <c r="BI114" s="7">
        <f>ROUND(SUM(BI111:BI113),5)</f>
        <v>0</v>
      </c>
      <c r="BJ114" s="6"/>
      <c r="BK114" s="7">
        <f>ROUND(SUM(BK111:BK113),5)</f>
        <v>0</v>
      </c>
      <c r="BL114" s="6"/>
      <c r="BM114" s="7">
        <f>ROUND(SUM(BM111:BM113),5)</f>
        <v>0</v>
      </c>
      <c r="BN114" s="6"/>
      <c r="BO114" s="7">
        <f>ROUND(SUM(BO111:BO113),5)</f>
        <v>0</v>
      </c>
      <c r="BP114" s="6"/>
      <c r="BQ114" s="7">
        <f>ROUND(SUM(G114:BO114),5)</f>
        <v>23907.33</v>
      </c>
    </row>
    <row r="115" spans="1:69">
      <c r="A115" s="4"/>
      <c r="B115" s="4"/>
      <c r="C115" s="4"/>
      <c r="D115" s="4"/>
      <c r="E115" s="4" t="s">
        <v>196</v>
      </c>
      <c r="F115" s="4"/>
      <c r="G115" s="7"/>
      <c r="H115" s="6"/>
      <c r="I115" s="7"/>
      <c r="J115" s="6"/>
      <c r="K115" s="7"/>
      <c r="L115" s="6"/>
      <c r="M115" s="7"/>
      <c r="N115" s="6"/>
      <c r="O115" s="7"/>
      <c r="P115" s="6"/>
      <c r="Q115" s="7"/>
      <c r="R115" s="6"/>
      <c r="S115" s="7"/>
      <c r="T115" s="6"/>
      <c r="U115" s="7"/>
      <c r="V115" s="6"/>
      <c r="W115" s="7"/>
      <c r="X115" s="6"/>
      <c r="Y115" s="7"/>
      <c r="Z115" s="6"/>
      <c r="AA115" s="7"/>
      <c r="AB115" s="6"/>
      <c r="AC115" s="7"/>
      <c r="AD115" s="6"/>
      <c r="AE115" s="7"/>
      <c r="AF115" s="6"/>
      <c r="AG115" s="7"/>
      <c r="AH115" s="6"/>
      <c r="AI115" s="7"/>
      <c r="AJ115" s="6"/>
      <c r="AK115" s="7"/>
      <c r="AL115" s="6"/>
      <c r="AM115" s="7"/>
      <c r="AN115" s="6"/>
      <c r="AO115" s="7"/>
      <c r="AP115" s="6"/>
      <c r="AQ115" s="7"/>
      <c r="AR115" s="6"/>
      <c r="AS115" s="7"/>
      <c r="AT115" s="6"/>
      <c r="AU115" s="7"/>
      <c r="AV115" s="6"/>
      <c r="AW115" s="7"/>
      <c r="AX115" s="6"/>
      <c r="AY115" s="7"/>
      <c r="AZ115" s="6"/>
      <c r="BA115" s="7"/>
      <c r="BB115" s="6"/>
      <c r="BC115" s="7"/>
      <c r="BD115" s="6"/>
      <c r="BE115" s="7"/>
      <c r="BF115" s="6"/>
      <c r="BG115" s="7"/>
      <c r="BH115" s="6"/>
      <c r="BI115" s="7"/>
      <c r="BJ115" s="6"/>
      <c r="BK115" s="7"/>
      <c r="BL115" s="6"/>
      <c r="BM115" s="7"/>
      <c r="BN115" s="6"/>
      <c r="BO115" s="7"/>
      <c r="BP115" s="6"/>
      <c r="BQ115" s="7"/>
    </row>
    <row r="116" spans="1:69">
      <c r="A116" s="4"/>
      <c r="B116" s="4"/>
      <c r="C116" s="4"/>
      <c r="D116" s="4"/>
      <c r="E116" s="4"/>
      <c r="F116" s="4" t="s">
        <v>197</v>
      </c>
      <c r="G116" s="7">
        <v>-492</v>
      </c>
      <c r="H116" s="6"/>
      <c r="I116" s="7">
        <v>0</v>
      </c>
      <c r="J116" s="6"/>
      <c r="K116" s="7">
        <v>0</v>
      </c>
      <c r="L116" s="6"/>
      <c r="M116" s="7">
        <v>0</v>
      </c>
      <c r="N116" s="6"/>
      <c r="O116" s="7">
        <v>0</v>
      </c>
      <c r="P116" s="6"/>
      <c r="Q116" s="7">
        <v>0</v>
      </c>
      <c r="R116" s="6"/>
      <c r="S116" s="7">
        <v>0</v>
      </c>
      <c r="T116" s="6"/>
      <c r="U116" s="7">
        <v>0</v>
      </c>
      <c r="V116" s="6"/>
      <c r="W116" s="7">
        <v>0</v>
      </c>
      <c r="X116" s="6"/>
      <c r="Y116" s="7">
        <v>0</v>
      </c>
      <c r="Z116" s="6"/>
      <c r="AA116" s="7">
        <v>0</v>
      </c>
      <c r="AB116" s="6"/>
      <c r="AC116" s="7">
        <v>0</v>
      </c>
      <c r="AD116" s="6"/>
      <c r="AE116" s="7">
        <v>0</v>
      </c>
      <c r="AF116" s="6"/>
      <c r="AG116" s="7">
        <v>0</v>
      </c>
      <c r="AH116" s="6"/>
      <c r="AI116" s="7">
        <v>0</v>
      </c>
      <c r="AJ116" s="6"/>
      <c r="AK116" s="7">
        <v>0</v>
      </c>
      <c r="AL116" s="6"/>
      <c r="AM116" s="7">
        <v>0</v>
      </c>
      <c r="AN116" s="6"/>
      <c r="AO116" s="7">
        <v>0</v>
      </c>
      <c r="AP116" s="6"/>
      <c r="AQ116" s="7">
        <v>0</v>
      </c>
      <c r="AR116" s="6"/>
      <c r="AS116" s="7">
        <v>0</v>
      </c>
      <c r="AT116" s="6"/>
      <c r="AU116" s="7">
        <v>0</v>
      </c>
      <c r="AV116" s="6"/>
      <c r="AW116" s="7">
        <v>0</v>
      </c>
      <c r="AX116" s="6"/>
      <c r="AY116" s="7">
        <v>0</v>
      </c>
      <c r="AZ116" s="6"/>
      <c r="BA116" s="7">
        <v>0</v>
      </c>
      <c r="BB116" s="6"/>
      <c r="BC116" s="7">
        <v>0</v>
      </c>
      <c r="BD116" s="6"/>
      <c r="BE116" s="7">
        <v>0</v>
      </c>
      <c r="BF116" s="6"/>
      <c r="BG116" s="7">
        <v>0</v>
      </c>
      <c r="BH116" s="6"/>
      <c r="BI116" s="7">
        <v>0</v>
      </c>
      <c r="BJ116" s="6"/>
      <c r="BK116" s="7">
        <v>0</v>
      </c>
      <c r="BL116" s="6"/>
      <c r="BM116" s="7">
        <v>0</v>
      </c>
      <c r="BN116" s="6"/>
      <c r="BO116" s="7">
        <v>0</v>
      </c>
      <c r="BP116" s="6"/>
      <c r="BQ116" s="7">
        <f>ROUND(SUM(G116:BO116),5)</f>
        <v>-492</v>
      </c>
    </row>
    <row r="117" spans="1:69">
      <c r="A117" s="4"/>
      <c r="B117" s="4"/>
      <c r="C117" s="4"/>
      <c r="D117" s="4"/>
      <c r="E117" s="4"/>
      <c r="F117" s="4" t="s">
        <v>198</v>
      </c>
      <c r="G117" s="7">
        <v>17178.849999999999</v>
      </c>
      <c r="H117" s="6"/>
      <c r="I117" s="7">
        <v>0</v>
      </c>
      <c r="J117" s="6"/>
      <c r="K117" s="7">
        <v>0</v>
      </c>
      <c r="L117" s="6"/>
      <c r="M117" s="7">
        <v>120</v>
      </c>
      <c r="N117" s="6"/>
      <c r="O117" s="7">
        <v>0</v>
      </c>
      <c r="P117" s="6"/>
      <c r="Q117" s="7">
        <v>0</v>
      </c>
      <c r="R117" s="6"/>
      <c r="S117" s="7">
        <v>0</v>
      </c>
      <c r="T117" s="6"/>
      <c r="U117" s="7">
        <v>0</v>
      </c>
      <c r="V117" s="6"/>
      <c r="W117" s="7">
        <v>0</v>
      </c>
      <c r="X117" s="6"/>
      <c r="Y117" s="7">
        <v>0</v>
      </c>
      <c r="Z117" s="6"/>
      <c r="AA117" s="7">
        <v>0</v>
      </c>
      <c r="AB117" s="6"/>
      <c r="AC117" s="7">
        <v>0</v>
      </c>
      <c r="AD117" s="6"/>
      <c r="AE117" s="7">
        <v>0</v>
      </c>
      <c r="AF117" s="6"/>
      <c r="AG117" s="7">
        <v>0</v>
      </c>
      <c r="AH117" s="6"/>
      <c r="AI117" s="7">
        <v>0</v>
      </c>
      <c r="AJ117" s="6"/>
      <c r="AK117" s="7">
        <v>0</v>
      </c>
      <c r="AL117" s="6"/>
      <c r="AM117" s="7">
        <v>0</v>
      </c>
      <c r="AN117" s="6"/>
      <c r="AO117" s="7">
        <v>0</v>
      </c>
      <c r="AP117" s="6"/>
      <c r="AQ117" s="7">
        <v>0</v>
      </c>
      <c r="AR117" s="6"/>
      <c r="AS117" s="7">
        <v>0</v>
      </c>
      <c r="AT117" s="6"/>
      <c r="AU117" s="7">
        <v>0</v>
      </c>
      <c r="AV117" s="6"/>
      <c r="AW117" s="7">
        <v>0</v>
      </c>
      <c r="AX117" s="6"/>
      <c r="AY117" s="7">
        <v>11761.78</v>
      </c>
      <c r="AZ117" s="6"/>
      <c r="BA117" s="7">
        <v>0</v>
      </c>
      <c r="BB117" s="6"/>
      <c r="BC117" s="7">
        <v>0</v>
      </c>
      <c r="BD117" s="6"/>
      <c r="BE117" s="7">
        <v>0</v>
      </c>
      <c r="BF117" s="6"/>
      <c r="BG117" s="7">
        <v>0</v>
      </c>
      <c r="BH117" s="6"/>
      <c r="BI117" s="7">
        <v>0</v>
      </c>
      <c r="BJ117" s="6"/>
      <c r="BK117" s="7">
        <v>0</v>
      </c>
      <c r="BL117" s="6"/>
      <c r="BM117" s="7">
        <v>0</v>
      </c>
      <c r="BN117" s="6"/>
      <c r="BO117" s="7">
        <v>0</v>
      </c>
      <c r="BP117" s="6"/>
      <c r="BQ117" s="7">
        <f>ROUND(SUM(G117:BO117),5)</f>
        <v>29060.63</v>
      </c>
    </row>
    <row r="118" spans="1:69">
      <c r="A118" s="4"/>
      <c r="B118" s="4"/>
      <c r="C118" s="4"/>
      <c r="D118" s="4"/>
      <c r="E118" s="4"/>
      <c r="F118" s="4" t="s">
        <v>199</v>
      </c>
      <c r="G118" s="7">
        <v>2205.04</v>
      </c>
      <c r="H118" s="6"/>
      <c r="I118" s="7">
        <v>0</v>
      </c>
      <c r="J118" s="6"/>
      <c r="K118" s="7">
        <v>0</v>
      </c>
      <c r="L118" s="6"/>
      <c r="M118" s="7">
        <v>9.18</v>
      </c>
      <c r="N118" s="6"/>
      <c r="O118" s="7">
        <v>0</v>
      </c>
      <c r="P118" s="6"/>
      <c r="Q118" s="7">
        <v>0</v>
      </c>
      <c r="R118" s="6"/>
      <c r="S118" s="7">
        <v>0</v>
      </c>
      <c r="T118" s="6"/>
      <c r="U118" s="7">
        <v>0</v>
      </c>
      <c r="V118" s="6"/>
      <c r="W118" s="7">
        <v>0</v>
      </c>
      <c r="X118" s="6"/>
      <c r="Y118" s="7">
        <v>0</v>
      </c>
      <c r="Z118" s="6"/>
      <c r="AA118" s="7">
        <v>0</v>
      </c>
      <c r="AB118" s="6"/>
      <c r="AC118" s="7">
        <v>0</v>
      </c>
      <c r="AD118" s="6"/>
      <c r="AE118" s="7">
        <v>0</v>
      </c>
      <c r="AF118" s="6"/>
      <c r="AG118" s="7">
        <v>0</v>
      </c>
      <c r="AH118" s="6"/>
      <c r="AI118" s="7">
        <v>0</v>
      </c>
      <c r="AJ118" s="6"/>
      <c r="AK118" s="7">
        <v>0</v>
      </c>
      <c r="AL118" s="6"/>
      <c r="AM118" s="7">
        <v>0</v>
      </c>
      <c r="AN118" s="6"/>
      <c r="AO118" s="7">
        <v>0</v>
      </c>
      <c r="AP118" s="6"/>
      <c r="AQ118" s="7">
        <v>0</v>
      </c>
      <c r="AR118" s="6"/>
      <c r="AS118" s="7">
        <v>0</v>
      </c>
      <c r="AT118" s="6"/>
      <c r="AU118" s="7">
        <v>0</v>
      </c>
      <c r="AV118" s="6"/>
      <c r="AW118" s="7">
        <v>0</v>
      </c>
      <c r="AX118" s="6"/>
      <c r="AY118" s="7">
        <v>0</v>
      </c>
      <c r="AZ118" s="6"/>
      <c r="BA118" s="7">
        <v>0</v>
      </c>
      <c r="BB118" s="6"/>
      <c r="BC118" s="7">
        <v>0</v>
      </c>
      <c r="BD118" s="6"/>
      <c r="BE118" s="7">
        <v>0</v>
      </c>
      <c r="BF118" s="6"/>
      <c r="BG118" s="7">
        <v>0</v>
      </c>
      <c r="BH118" s="6"/>
      <c r="BI118" s="7">
        <v>0</v>
      </c>
      <c r="BJ118" s="6"/>
      <c r="BK118" s="7">
        <v>0</v>
      </c>
      <c r="BL118" s="6"/>
      <c r="BM118" s="7">
        <v>0</v>
      </c>
      <c r="BN118" s="6"/>
      <c r="BO118" s="7">
        <v>0</v>
      </c>
      <c r="BP118" s="6"/>
      <c r="BQ118" s="7">
        <f>ROUND(SUM(G118:BO118),5)</f>
        <v>2214.2199999999998</v>
      </c>
    </row>
    <row r="119" spans="1:69">
      <c r="A119" s="4"/>
      <c r="B119" s="4"/>
      <c r="C119" s="4"/>
      <c r="D119" s="4"/>
      <c r="E119" s="4"/>
      <c r="F119" s="4" t="s">
        <v>200</v>
      </c>
      <c r="G119" s="7">
        <v>4737.24</v>
      </c>
      <c r="H119" s="6"/>
      <c r="I119" s="7">
        <v>0</v>
      </c>
      <c r="J119" s="6"/>
      <c r="K119" s="7">
        <v>0</v>
      </c>
      <c r="L119" s="6"/>
      <c r="M119" s="7">
        <v>0</v>
      </c>
      <c r="N119" s="6"/>
      <c r="O119" s="7">
        <v>0</v>
      </c>
      <c r="P119" s="6"/>
      <c r="Q119" s="7">
        <v>0</v>
      </c>
      <c r="R119" s="6"/>
      <c r="S119" s="7">
        <v>0</v>
      </c>
      <c r="T119" s="6"/>
      <c r="U119" s="7">
        <v>0</v>
      </c>
      <c r="V119" s="6"/>
      <c r="W119" s="7">
        <v>0</v>
      </c>
      <c r="X119" s="6"/>
      <c r="Y119" s="7">
        <v>0</v>
      </c>
      <c r="Z119" s="6"/>
      <c r="AA119" s="7">
        <v>0</v>
      </c>
      <c r="AB119" s="6"/>
      <c r="AC119" s="7">
        <v>0</v>
      </c>
      <c r="AD119" s="6"/>
      <c r="AE119" s="7">
        <v>0</v>
      </c>
      <c r="AF119" s="6"/>
      <c r="AG119" s="7">
        <v>0</v>
      </c>
      <c r="AH119" s="6"/>
      <c r="AI119" s="7">
        <v>0</v>
      </c>
      <c r="AJ119" s="6"/>
      <c r="AK119" s="7">
        <v>0</v>
      </c>
      <c r="AL119" s="6"/>
      <c r="AM119" s="7">
        <v>0</v>
      </c>
      <c r="AN119" s="6"/>
      <c r="AO119" s="7">
        <v>0</v>
      </c>
      <c r="AP119" s="6"/>
      <c r="AQ119" s="7">
        <v>0</v>
      </c>
      <c r="AR119" s="6"/>
      <c r="AS119" s="7">
        <v>0</v>
      </c>
      <c r="AT119" s="6"/>
      <c r="AU119" s="7">
        <v>0</v>
      </c>
      <c r="AV119" s="6"/>
      <c r="AW119" s="7">
        <v>0</v>
      </c>
      <c r="AX119" s="6"/>
      <c r="AY119" s="7">
        <v>0</v>
      </c>
      <c r="AZ119" s="6"/>
      <c r="BA119" s="7">
        <v>0</v>
      </c>
      <c r="BB119" s="6"/>
      <c r="BC119" s="7">
        <v>0</v>
      </c>
      <c r="BD119" s="6"/>
      <c r="BE119" s="7">
        <v>0</v>
      </c>
      <c r="BF119" s="6"/>
      <c r="BG119" s="7">
        <v>0</v>
      </c>
      <c r="BH119" s="6"/>
      <c r="BI119" s="7">
        <v>0</v>
      </c>
      <c r="BJ119" s="6"/>
      <c r="BK119" s="7">
        <v>0</v>
      </c>
      <c r="BL119" s="6"/>
      <c r="BM119" s="7">
        <v>0</v>
      </c>
      <c r="BN119" s="6"/>
      <c r="BO119" s="7">
        <v>0</v>
      </c>
      <c r="BP119" s="6"/>
      <c r="BQ119" s="7">
        <f>ROUND(SUM(G119:BO119),5)</f>
        <v>4737.24</v>
      </c>
    </row>
    <row r="120" spans="1:69">
      <c r="A120" s="4"/>
      <c r="B120" s="4"/>
      <c r="C120" s="4"/>
      <c r="D120" s="4"/>
      <c r="E120" s="4"/>
      <c r="F120" s="4" t="s">
        <v>201</v>
      </c>
      <c r="G120" s="7">
        <v>-524.22</v>
      </c>
      <c r="H120" s="6"/>
      <c r="I120" s="7">
        <v>0</v>
      </c>
      <c r="J120" s="6"/>
      <c r="K120" s="7">
        <v>0</v>
      </c>
      <c r="L120" s="6"/>
      <c r="M120" s="7">
        <v>0</v>
      </c>
      <c r="N120" s="6"/>
      <c r="O120" s="7">
        <v>0</v>
      </c>
      <c r="P120" s="6"/>
      <c r="Q120" s="7">
        <v>0</v>
      </c>
      <c r="R120" s="6"/>
      <c r="S120" s="7">
        <v>0</v>
      </c>
      <c r="T120" s="6"/>
      <c r="U120" s="7">
        <v>0</v>
      </c>
      <c r="V120" s="6"/>
      <c r="W120" s="7">
        <v>0</v>
      </c>
      <c r="X120" s="6"/>
      <c r="Y120" s="7">
        <v>0</v>
      </c>
      <c r="Z120" s="6"/>
      <c r="AA120" s="7">
        <v>0</v>
      </c>
      <c r="AB120" s="6"/>
      <c r="AC120" s="7">
        <v>0</v>
      </c>
      <c r="AD120" s="6"/>
      <c r="AE120" s="7">
        <v>0</v>
      </c>
      <c r="AF120" s="6"/>
      <c r="AG120" s="7">
        <v>0</v>
      </c>
      <c r="AH120" s="6"/>
      <c r="AI120" s="7">
        <v>0</v>
      </c>
      <c r="AJ120" s="6"/>
      <c r="AK120" s="7">
        <v>0</v>
      </c>
      <c r="AL120" s="6"/>
      <c r="AM120" s="7">
        <v>0</v>
      </c>
      <c r="AN120" s="6"/>
      <c r="AO120" s="7">
        <v>0</v>
      </c>
      <c r="AP120" s="6"/>
      <c r="AQ120" s="7">
        <v>0</v>
      </c>
      <c r="AR120" s="6"/>
      <c r="AS120" s="7">
        <v>0</v>
      </c>
      <c r="AT120" s="6"/>
      <c r="AU120" s="7">
        <v>0</v>
      </c>
      <c r="AV120" s="6"/>
      <c r="AW120" s="7">
        <v>0</v>
      </c>
      <c r="AX120" s="6"/>
      <c r="AY120" s="7">
        <v>0</v>
      </c>
      <c r="AZ120" s="6"/>
      <c r="BA120" s="7">
        <v>0</v>
      </c>
      <c r="BB120" s="6"/>
      <c r="BC120" s="7">
        <v>0</v>
      </c>
      <c r="BD120" s="6"/>
      <c r="BE120" s="7">
        <v>0</v>
      </c>
      <c r="BF120" s="6"/>
      <c r="BG120" s="7">
        <v>0</v>
      </c>
      <c r="BH120" s="6"/>
      <c r="BI120" s="7">
        <v>0</v>
      </c>
      <c r="BJ120" s="6"/>
      <c r="BK120" s="7">
        <v>0</v>
      </c>
      <c r="BL120" s="6"/>
      <c r="BM120" s="7">
        <v>0</v>
      </c>
      <c r="BN120" s="6"/>
      <c r="BO120" s="7">
        <v>0</v>
      </c>
      <c r="BP120" s="6"/>
      <c r="BQ120" s="7">
        <f>ROUND(SUM(G120:BO120),5)</f>
        <v>-524.22</v>
      </c>
    </row>
    <row r="121" spans="1:69">
      <c r="A121" s="4"/>
      <c r="B121" s="4"/>
      <c r="C121" s="4"/>
      <c r="D121" s="4"/>
      <c r="E121" s="4"/>
      <c r="F121" s="4" t="s">
        <v>202</v>
      </c>
      <c r="G121" s="7">
        <v>-4672.95</v>
      </c>
      <c r="H121" s="6"/>
      <c r="I121" s="7">
        <v>0</v>
      </c>
      <c r="J121" s="6"/>
      <c r="K121" s="7">
        <v>0</v>
      </c>
      <c r="L121" s="6"/>
      <c r="M121" s="7">
        <v>0</v>
      </c>
      <c r="N121" s="6"/>
      <c r="O121" s="7">
        <v>0</v>
      </c>
      <c r="P121" s="6"/>
      <c r="Q121" s="7">
        <v>0</v>
      </c>
      <c r="R121" s="6"/>
      <c r="S121" s="7">
        <v>0</v>
      </c>
      <c r="T121" s="6"/>
      <c r="U121" s="7">
        <v>0</v>
      </c>
      <c r="V121" s="6"/>
      <c r="W121" s="7">
        <v>0</v>
      </c>
      <c r="X121" s="6"/>
      <c r="Y121" s="7">
        <v>0</v>
      </c>
      <c r="Z121" s="6"/>
      <c r="AA121" s="7">
        <v>0</v>
      </c>
      <c r="AB121" s="6"/>
      <c r="AC121" s="7">
        <v>0</v>
      </c>
      <c r="AD121" s="6"/>
      <c r="AE121" s="7">
        <v>0</v>
      </c>
      <c r="AF121" s="6"/>
      <c r="AG121" s="7">
        <v>0</v>
      </c>
      <c r="AH121" s="6"/>
      <c r="AI121" s="7">
        <v>0</v>
      </c>
      <c r="AJ121" s="6"/>
      <c r="AK121" s="7">
        <v>0</v>
      </c>
      <c r="AL121" s="6"/>
      <c r="AM121" s="7">
        <v>0</v>
      </c>
      <c r="AN121" s="6"/>
      <c r="AO121" s="7">
        <v>0</v>
      </c>
      <c r="AP121" s="6"/>
      <c r="AQ121" s="7">
        <v>0</v>
      </c>
      <c r="AR121" s="6"/>
      <c r="AS121" s="7">
        <v>0</v>
      </c>
      <c r="AT121" s="6"/>
      <c r="AU121" s="7">
        <v>0</v>
      </c>
      <c r="AV121" s="6"/>
      <c r="AW121" s="7">
        <v>0</v>
      </c>
      <c r="AX121" s="6"/>
      <c r="AY121" s="7">
        <v>0</v>
      </c>
      <c r="AZ121" s="6"/>
      <c r="BA121" s="7">
        <v>0</v>
      </c>
      <c r="BB121" s="6"/>
      <c r="BC121" s="7">
        <v>0</v>
      </c>
      <c r="BD121" s="6"/>
      <c r="BE121" s="7">
        <v>0</v>
      </c>
      <c r="BF121" s="6"/>
      <c r="BG121" s="7">
        <v>0</v>
      </c>
      <c r="BH121" s="6"/>
      <c r="BI121" s="7">
        <v>0</v>
      </c>
      <c r="BJ121" s="6"/>
      <c r="BK121" s="7">
        <v>0</v>
      </c>
      <c r="BL121" s="6"/>
      <c r="BM121" s="7">
        <v>0</v>
      </c>
      <c r="BN121" s="6"/>
      <c r="BO121" s="7">
        <v>0</v>
      </c>
      <c r="BP121" s="6"/>
      <c r="BQ121" s="7">
        <f>ROUND(SUM(G121:BO121),5)</f>
        <v>-4672.95</v>
      </c>
    </row>
    <row r="122" spans="1:69">
      <c r="A122" s="4"/>
      <c r="B122" s="4"/>
      <c r="C122" s="4"/>
      <c r="D122" s="4"/>
      <c r="E122" s="4"/>
      <c r="F122" s="4" t="s">
        <v>203</v>
      </c>
      <c r="G122" s="7">
        <v>53874.52</v>
      </c>
      <c r="H122" s="6"/>
      <c r="I122" s="7">
        <v>0</v>
      </c>
      <c r="J122" s="6"/>
      <c r="K122" s="7">
        <v>0</v>
      </c>
      <c r="L122" s="6"/>
      <c r="M122" s="7">
        <v>2630</v>
      </c>
      <c r="N122" s="6"/>
      <c r="O122" s="7">
        <v>0</v>
      </c>
      <c r="P122" s="6"/>
      <c r="Q122" s="7">
        <v>0</v>
      </c>
      <c r="R122" s="6"/>
      <c r="S122" s="7">
        <v>0</v>
      </c>
      <c r="T122" s="6"/>
      <c r="U122" s="7">
        <v>3000</v>
      </c>
      <c r="V122" s="6"/>
      <c r="W122" s="7">
        <v>0</v>
      </c>
      <c r="X122" s="6"/>
      <c r="Y122" s="7">
        <v>13360</v>
      </c>
      <c r="Z122" s="6"/>
      <c r="AA122" s="7">
        <v>0</v>
      </c>
      <c r="AB122" s="6"/>
      <c r="AC122" s="7">
        <v>0</v>
      </c>
      <c r="AD122" s="6"/>
      <c r="AE122" s="7">
        <v>0</v>
      </c>
      <c r="AF122" s="6"/>
      <c r="AG122" s="7">
        <v>0</v>
      </c>
      <c r="AH122" s="6"/>
      <c r="AI122" s="7">
        <v>0</v>
      </c>
      <c r="AJ122" s="6"/>
      <c r="AK122" s="7">
        <v>0</v>
      </c>
      <c r="AL122" s="6"/>
      <c r="AM122" s="7">
        <v>0</v>
      </c>
      <c r="AN122" s="6"/>
      <c r="AO122" s="7">
        <v>0</v>
      </c>
      <c r="AP122" s="6"/>
      <c r="AQ122" s="7">
        <v>0</v>
      </c>
      <c r="AR122" s="6"/>
      <c r="AS122" s="7">
        <v>0</v>
      </c>
      <c r="AT122" s="6"/>
      <c r="AU122" s="7">
        <v>0</v>
      </c>
      <c r="AV122" s="6"/>
      <c r="AW122" s="7">
        <v>0</v>
      </c>
      <c r="AX122" s="6"/>
      <c r="AY122" s="7">
        <v>0</v>
      </c>
      <c r="AZ122" s="6"/>
      <c r="BA122" s="7">
        <v>0</v>
      </c>
      <c r="BB122" s="6"/>
      <c r="BC122" s="7">
        <v>0</v>
      </c>
      <c r="BD122" s="6"/>
      <c r="BE122" s="7">
        <v>0</v>
      </c>
      <c r="BF122" s="6"/>
      <c r="BG122" s="7">
        <v>0</v>
      </c>
      <c r="BH122" s="6"/>
      <c r="BI122" s="7">
        <v>0</v>
      </c>
      <c r="BJ122" s="6"/>
      <c r="BK122" s="7">
        <v>0</v>
      </c>
      <c r="BL122" s="6"/>
      <c r="BM122" s="7">
        <v>4450</v>
      </c>
      <c r="BN122" s="6"/>
      <c r="BO122" s="7">
        <v>5592.83</v>
      </c>
      <c r="BP122" s="6"/>
      <c r="BQ122" s="7">
        <f>ROUND(SUM(G122:BO122),5)</f>
        <v>82907.350000000006</v>
      </c>
    </row>
    <row r="123" spans="1:69">
      <c r="A123" s="4"/>
      <c r="B123" s="4"/>
      <c r="C123" s="4"/>
      <c r="D123" s="4"/>
      <c r="E123" s="4"/>
      <c r="F123" s="4" t="s">
        <v>204</v>
      </c>
      <c r="G123" s="7">
        <v>2993.48</v>
      </c>
      <c r="H123" s="6"/>
      <c r="I123" s="7">
        <v>0</v>
      </c>
      <c r="J123" s="6"/>
      <c r="K123" s="7">
        <v>0</v>
      </c>
      <c r="L123" s="6"/>
      <c r="M123" s="7">
        <v>0</v>
      </c>
      <c r="N123" s="6"/>
      <c r="O123" s="7">
        <v>0</v>
      </c>
      <c r="P123" s="6"/>
      <c r="Q123" s="7">
        <v>0</v>
      </c>
      <c r="R123" s="6"/>
      <c r="S123" s="7">
        <v>0</v>
      </c>
      <c r="T123" s="6"/>
      <c r="U123" s="7">
        <v>0</v>
      </c>
      <c r="V123" s="6"/>
      <c r="W123" s="7">
        <v>0</v>
      </c>
      <c r="X123" s="6"/>
      <c r="Y123" s="7">
        <v>0</v>
      </c>
      <c r="Z123" s="6"/>
      <c r="AA123" s="7">
        <v>0</v>
      </c>
      <c r="AB123" s="6"/>
      <c r="AC123" s="7">
        <v>0</v>
      </c>
      <c r="AD123" s="6"/>
      <c r="AE123" s="7">
        <v>0</v>
      </c>
      <c r="AF123" s="6"/>
      <c r="AG123" s="7">
        <v>0</v>
      </c>
      <c r="AH123" s="6"/>
      <c r="AI123" s="7">
        <v>0</v>
      </c>
      <c r="AJ123" s="6"/>
      <c r="AK123" s="7">
        <v>0</v>
      </c>
      <c r="AL123" s="6"/>
      <c r="AM123" s="7">
        <v>0</v>
      </c>
      <c r="AN123" s="6"/>
      <c r="AO123" s="7">
        <v>0</v>
      </c>
      <c r="AP123" s="6"/>
      <c r="AQ123" s="7">
        <v>0</v>
      </c>
      <c r="AR123" s="6"/>
      <c r="AS123" s="7">
        <v>0</v>
      </c>
      <c r="AT123" s="6"/>
      <c r="AU123" s="7">
        <v>0</v>
      </c>
      <c r="AV123" s="6"/>
      <c r="AW123" s="7">
        <v>0</v>
      </c>
      <c r="AX123" s="6"/>
      <c r="AY123" s="7">
        <v>0</v>
      </c>
      <c r="AZ123" s="6"/>
      <c r="BA123" s="7">
        <v>0</v>
      </c>
      <c r="BB123" s="6"/>
      <c r="BC123" s="7">
        <v>0</v>
      </c>
      <c r="BD123" s="6"/>
      <c r="BE123" s="7">
        <v>0</v>
      </c>
      <c r="BF123" s="6"/>
      <c r="BG123" s="7">
        <v>0</v>
      </c>
      <c r="BH123" s="6"/>
      <c r="BI123" s="7">
        <v>0</v>
      </c>
      <c r="BJ123" s="6"/>
      <c r="BK123" s="7">
        <v>0</v>
      </c>
      <c r="BL123" s="6"/>
      <c r="BM123" s="7">
        <v>0</v>
      </c>
      <c r="BN123" s="6"/>
      <c r="BO123" s="7">
        <v>0</v>
      </c>
      <c r="BP123" s="6"/>
      <c r="BQ123" s="7">
        <f>ROUND(SUM(G123:BO123),5)</f>
        <v>2993.48</v>
      </c>
    </row>
    <row r="124" spans="1:69">
      <c r="A124" s="4"/>
      <c r="B124" s="4"/>
      <c r="C124" s="4"/>
      <c r="D124" s="4"/>
      <c r="E124" s="4"/>
      <c r="F124" s="4" t="s">
        <v>205</v>
      </c>
      <c r="G124" s="7">
        <v>14570.85</v>
      </c>
      <c r="H124" s="6"/>
      <c r="I124" s="7">
        <v>0</v>
      </c>
      <c r="J124" s="6"/>
      <c r="K124" s="7">
        <v>0</v>
      </c>
      <c r="L124" s="6"/>
      <c r="M124" s="7">
        <v>0</v>
      </c>
      <c r="N124" s="6"/>
      <c r="O124" s="7">
        <v>0</v>
      </c>
      <c r="P124" s="6"/>
      <c r="Q124" s="7">
        <v>0</v>
      </c>
      <c r="R124" s="6"/>
      <c r="S124" s="7">
        <v>0</v>
      </c>
      <c r="T124" s="6"/>
      <c r="U124" s="7">
        <v>0</v>
      </c>
      <c r="V124" s="6"/>
      <c r="W124" s="7">
        <v>0</v>
      </c>
      <c r="X124" s="6"/>
      <c r="Y124" s="7">
        <v>0</v>
      </c>
      <c r="Z124" s="6"/>
      <c r="AA124" s="7">
        <v>0</v>
      </c>
      <c r="AB124" s="6"/>
      <c r="AC124" s="7">
        <v>0</v>
      </c>
      <c r="AD124" s="6"/>
      <c r="AE124" s="7">
        <v>0</v>
      </c>
      <c r="AF124" s="6"/>
      <c r="AG124" s="7">
        <v>0</v>
      </c>
      <c r="AH124" s="6"/>
      <c r="AI124" s="7">
        <v>0</v>
      </c>
      <c r="AJ124" s="6"/>
      <c r="AK124" s="7">
        <v>0</v>
      </c>
      <c r="AL124" s="6"/>
      <c r="AM124" s="7">
        <v>0</v>
      </c>
      <c r="AN124" s="6"/>
      <c r="AO124" s="7">
        <v>0</v>
      </c>
      <c r="AP124" s="6"/>
      <c r="AQ124" s="7">
        <v>0</v>
      </c>
      <c r="AR124" s="6"/>
      <c r="AS124" s="7">
        <v>0</v>
      </c>
      <c r="AT124" s="6"/>
      <c r="AU124" s="7">
        <v>0</v>
      </c>
      <c r="AV124" s="6"/>
      <c r="AW124" s="7">
        <v>0</v>
      </c>
      <c r="AX124" s="6"/>
      <c r="AY124" s="7">
        <v>0</v>
      </c>
      <c r="AZ124" s="6"/>
      <c r="BA124" s="7">
        <v>0</v>
      </c>
      <c r="BB124" s="6"/>
      <c r="BC124" s="7">
        <v>0</v>
      </c>
      <c r="BD124" s="6"/>
      <c r="BE124" s="7">
        <v>0</v>
      </c>
      <c r="BF124" s="6"/>
      <c r="BG124" s="7">
        <v>0</v>
      </c>
      <c r="BH124" s="6"/>
      <c r="BI124" s="7">
        <v>0</v>
      </c>
      <c r="BJ124" s="6"/>
      <c r="BK124" s="7">
        <v>0</v>
      </c>
      <c r="BL124" s="6"/>
      <c r="BM124" s="7">
        <v>0</v>
      </c>
      <c r="BN124" s="6"/>
      <c r="BO124" s="7">
        <v>0</v>
      </c>
      <c r="BP124" s="6"/>
      <c r="BQ124" s="7">
        <f>ROUND(SUM(G124:BO124),5)</f>
        <v>14570.85</v>
      </c>
    </row>
    <row r="125" spans="1:69">
      <c r="A125" s="4"/>
      <c r="B125" s="4"/>
      <c r="C125" s="4"/>
      <c r="D125" s="4"/>
      <c r="E125" s="4"/>
      <c r="F125" s="4" t="s">
        <v>206</v>
      </c>
      <c r="G125" s="7">
        <v>440</v>
      </c>
      <c r="H125" s="6"/>
      <c r="I125" s="7">
        <v>0</v>
      </c>
      <c r="J125" s="6"/>
      <c r="K125" s="7">
        <v>0</v>
      </c>
      <c r="L125" s="6"/>
      <c r="M125" s="7">
        <v>0</v>
      </c>
      <c r="N125" s="6"/>
      <c r="O125" s="7">
        <v>0</v>
      </c>
      <c r="P125" s="6"/>
      <c r="Q125" s="7">
        <v>0</v>
      </c>
      <c r="R125" s="6"/>
      <c r="S125" s="7">
        <v>0</v>
      </c>
      <c r="T125" s="6"/>
      <c r="U125" s="7">
        <v>0</v>
      </c>
      <c r="V125" s="6"/>
      <c r="W125" s="7">
        <v>0</v>
      </c>
      <c r="X125" s="6"/>
      <c r="Y125" s="7">
        <v>0</v>
      </c>
      <c r="Z125" s="6"/>
      <c r="AA125" s="7">
        <v>0</v>
      </c>
      <c r="AB125" s="6"/>
      <c r="AC125" s="7">
        <v>0</v>
      </c>
      <c r="AD125" s="6"/>
      <c r="AE125" s="7">
        <v>0</v>
      </c>
      <c r="AF125" s="6"/>
      <c r="AG125" s="7">
        <v>0</v>
      </c>
      <c r="AH125" s="6"/>
      <c r="AI125" s="7">
        <v>0</v>
      </c>
      <c r="AJ125" s="6"/>
      <c r="AK125" s="7">
        <v>0</v>
      </c>
      <c r="AL125" s="6"/>
      <c r="AM125" s="7">
        <v>0</v>
      </c>
      <c r="AN125" s="6"/>
      <c r="AO125" s="7">
        <v>0</v>
      </c>
      <c r="AP125" s="6"/>
      <c r="AQ125" s="7">
        <v>0</v>
      </c>
      <c r="AR125" s="6"/>
      <c r="AS125" s="7">
        <v>0</v>
      </c>
      <c r="AT125" s="6"/>
      <c r="AU125" s="7">
        <v>0</v>
      </c>
      <c r="AV125" s="6"/>
      <c r="AW125" s="7">
        <v>0</v>
      </c>
      <c r="AX125" s="6"/>
      <c r="AY125" s="7">
        <v>0</v>
      </c>
      <c r="AZ125" s="6"/>
      <c r="BA125" s="7">
        <v>0</v>
      </c>
      <c r="BB125" s="6"/>
      <c r="BC125" s="7">
        <v>0</v>
      </c>
      <c r="BD125" s="6"/>
      <c r="BE125" s="7">
        <v>0</v>
      </c>
      <c r="BF125" s="6"/>
      <c r="BG125" s="7">
        <v>0</v>
      </c>
      <c r="BH125" s="6"/>
      <c r="BI125" s="7">
        <v>0</v>
      </c>
      <c r="BJ125" s="6"/>
      <c r="BK125" s="7">
        <v>0</v>
      </c>
      <c r="BL125" s="6"/>
      <c r="BM125" s="7">
        <v>0</v>
      </c>
      <c r="BN125" s="6"/>
      <c r="BO125" s="7">
        <v>0</v>
      </c>
      <c r="BP125" s="6"/>
      <c r="BQ125" s="7">
        <f>ROUND(SUM(G125:BO125),5)</f>
        <v>440</v>
      </c>
    </row>
    <row r="126" spans="1:69">
      <c r="A126" s="4"/>
      <c r="B126" s="4"/>
      <c r="C126" s="4"/>
      <c r="D126" s="4"/>
      <c r="E126" s="4"/>
      <c r="F126" s="4" t="s">
        <v>207</v>
      </c>
      <c r="G126" s="7">
        <v>4068.01</v>
      </c>
      <c r="H126" s="6"/>
      <c r="I126" s="7">
        <v>506.63</v>
      </c>
      <c r="J126" s="6"/>
      <c r="K126" s="7">
        <v>0</v>
      </c>
      <c r="L126" s="6"/>
      <c r="M126" s="7">
        <v>0</v>
      </c>
      <c r="N126" s="6"/>
      <c r="O126" s="7">
        <v>0</v>
      </c>
      <c r="P126" s="6"/>
      <c r="Q126" s="7">
        <v>0</v>
      </c>
      <c r="R126" s="6"/>
      <c r="S126" s="7">
        <v>0</v>
      </c>
      <c r="T126" s="6"/>
      <c r="U126" s="7">
        <v>0</v>
      </c>
      <c r="V126" s="6"/>
      <c r="W126" s="7">
        <v>0</v>
      </c>
      <c r="X126" s="6"/>
      <c r="Y126" s="7">
        <v>0</v>
      </c>
      <c r="Z126" s="6"/>
      <c r="AA126" s="7">
        <v>0</v>
      </c>
      <c r="AB126" s="6"/>
      <c r="AC126" s="7">
        <v>0</v>
      </c>
      <c r="AD126" s="6"/>
      <c r="AE126" s="7">
        <v>0</v>
      </c>
      <c r="AF126" s="6"/>
      <c r="AG126" s="7">
        <v>0</v>
      </c>
      <c r="AH126" s="6"/>
      <c r="AI126" s="7">
        <v>0</v>
      </c>
      <c r="AJ126" s="6"/>
      <c r="AK126" s="7">
        <v>0</v>
      </c>
      <c r="AL126" s="6"/>
      <c r="AM126" s="7">
        <v>0</v>
      </c>
      <c r="AN126" s="6"/>
      <c r="AO126" s="7">
        <v>0</v>
      </c>
      <c r="AP126" s="6"/>
      <c r="AQ126" s="7">
        <v>0</v>
      </c>
      <c r="AR126" s="6"/>
      <c r="AS126" s="7">
        <v>0</v>
      </c>
      <c r="AT126" s="6"/>
      <c r="AU126" s="7">
        <v>0</v>
      </c>
      <c r="AV126" s="6"/>
      <c r="AW126" s="7">
        <v>0</v>
      </c>
      <c r="AX126" s="6"/>
      <c r="AY126" s="7">
        <v>0</v>
      </c>
      <c r="AZ126" s="6"/>
      <c r="BA126" s="7">
        <v>0</v>
      </c>
      <c r="BB126" s="6"/>
      <c r="BC126" s="7">
        <v>0</v>
      </c>
      <c r="BD126" s="6"/>
      <c r="BE126" s="7">
        <v>0</v>
      </c>
      <c r="BF126" s="6"/>
      <c r="BG126" s="7">
        <v>0</v>
      </c>
      <c r="BH126" s="6"/>
      <c r="BI126" s="7">
        <v>0</v>
      </c>
      <c r="BJ126" s="6"/>
      <c r="BK126" s="7">
        <v>0</v>
      </c>
      <c r="BL126" s="6"/>
      <c r="BM126" s="7">
        <v>0</v>
      </c>
      <c r="BN126" s="6"/>
      <c r="BO126" s="7">
        <v>0</v>
      </c>
      <c r="BP126" s="6"/>
      <c r="BQ126" s="7">
        <f>ROUND(SUM(G126:BO126),5)</f>
        <v>4574.6400000000003</v>
      </c>
    </row>
    <row r="127" spans="1:69">
      <c r="A127" s="4"/>
      <c r="B127" s="4"/>
      <c r="C127" s="4"/>
      <c r="D127" s="4"/>
      <c r="E127" s="4"/>
      <c r="F127" s="4" t="s">
        <v>208</v>
      </c>
      <c r="G127" s="7">
        <v>14315.12</v>
      </c>
      <c r="H127" s="6"/>
      <c r="I127" s="7">
        <v>0</v>
      </c>
      <c r="J127" s="6"/>
      <c r="K127" s="7">
        <v>0</v>
      </c>
      <c r="L127" s="6"/>
      <c r="M127" s="7">
        <v>0</v>
      </c>
      <c r="N127" s="6"/>
      <c r="O127" s="7">
        <v>0</v>
      </c>
      <c r="P127" s="6"/>
      <c r="Q127" s="7">
        <v>0</v>
      </c>
      <c r="R127" s="6"/>
      <c r="S127" s="7">
        <v>0</v>
      </c>
      <c r="T127" s="6"/>
      <c r="U127" s="7">
        <v>639.97</v>
      </c>
      <c r="V127" s="6"/>
      <c r="W127" s="7">
        <v>0</v>
      </c>
      <c r="X127" s="6"/>
      <c r="Y127" s="7">
        <v>0</v>
      </c>
      <c r="Z127" s="6"/>
      <c r="AA127" s="7">
        <v>0</v>
      </c>
      <c r="AB127" s="6"/>
      <c r="AC127" s="7">
        <v>0</v>
      </c>
      <c r="AD127" s="6"/>
      <c r="AE127" s="7">
        <v>0</v>
      </c>
      <c r="AF127" s="6"/>
      <c r="AG127" s="7">
        <v>0</v>
      </c>
      <c r="AH127" s="6"/>
      <c r="AI127" s="7">
        <v>0</v>
      </c>
      <c r="AJ127" s="6"/>
      <c r="AK127" s="7">
        <v>0</v>
      </c>
      <c r="AL127" s="6"/>
      <c r="AM127" s="7">
        <v>0</v>
      </c>
      <c r="AN127" s="6"/>
      <c r="AO127" s="7">
        <v>0</v>
      </c>
      <c r="AP127" s="6"/>
      <c r="AQ127" s="7">
        <v>0</v>
      </c>
      <c r="AR127" s="6"/>
      <c r="AS127" s="7">
        <v>0</v>
      </c>
      <c r="AT127" s="6"/>
      <c r="AU127" s="7">
        <v>0</v>
      </c>
      <c r="AV127" s="6"/>
      <c r="AW127" s="7">
        <v>0</v>
      </c>
      <c r="AX127" s="6"/>
      <c r="AY127" s="7">
        <v>0</v>
      </c>
      <c r="AZ127" s="6"/>
      <c r="BA127" s="7">
        <v>0</v>
      </c>
      <c r="BB127" s="6"/>
      <c r="BC127" s="7">
        <v>0</v>
      </c>
      <c r="BD127" s="6"/>
      <c r="BE127" s="7">
        <v>0</v>
      </c>
      <c r="BF127" s="6"/>
      <c r="BG127" s="7">
        <v>0</v>
      </c>
      <c r="BH127" s="6"/>
      <c r="BI127" s="7">
        <v>0</v>
      </c>
      <c r="BJ127" s="6"/>
      <c r="BK127" s="7">
        <v>0</v>
      </c>
      <c r="BL127" s="6"/>
      <c r="BM127" s="7">
        <v>0</v>
      </c>
      <c r="BN127" s="6"/>
      <c r="BO127" s="7">
        <v>0</v>
      </c>
      <c r="BP127" s="6"/>
      <c r="BQ127" s="7">
        <f>ROUND(SUM(G127:BO127),5)</f>
        <v>14955.09</v>
      </c>
    </row>
    <row r="128" spans="1:69">
      <c r="A128" s="4"/>
      <c r="B128" s="4"/>
      <c r="C128" s="4"/>
      <c r="D128" s="4"/>
      <c r="E128" s="4"/>
      <c r="F128" s="4" t="s">
        <v>209</v>
      </c>
      <c r="G128" s="7">
        <v>4627.95</v>
      </c>
      <c r="H128" s="6"/>
      <c r="I128" s="7">
        <v>0</v>
      </c>
      <c r="J128" s="6"/>
      <c r="K128" s="7">
        <v>0</v>
      </c>
      <c r="L128" s="6"/>
      <c r="M128" s="7">
        <v>0</v>
      </c>
      <c r="N128" s="6"/>
      <c r="O128" s="7">
        <v>0</v>
      </c>
      <c r="P128" s="6"/>
      <c r="Q128" s="7">
        <v>0</v>
      </c>
      <c r="R128" s="6"/>
      <c r="S128" s="7">
        <v>0</v>
      </c>
      <c r="T128" s="6"/>
      <c r="U128" s="7">
        <v>0</v>
      </c>
      <c r="V128" s="6"/>
      <c r="W128" s="7">
        <v>0</v>
      </c>
      <c r="X128" s="6"/>
      <c r="Y128" s="7">
        <v>0</v>
      </c>
      <c r="Z128" s="6"/>
      <c r="AA128" s="7">
        <v>0</v>
      </c>
      <c r="AB128" s="6"/>
      <c r="AC128" s="7">
        <v>0</v>
      </c>
      <c r="AD128" s="6"/>
      <c r="AE128" s="7">
        <v>0</v>
      </c>
      <c r="AF128" s="6"/>
      <c r="AG128" s="7">
        <v>0</v>
      </c>
      <c r="AH128" s="6"/>
      <c r="AI128" s="7">
        <v>0</v>
      </c>
      <c r="AJ128" s="6"/>
      <c r="AK128" s="7">
        <v>0</v>
      </c>
      <c r="AL128" s="6"/>
      <c r="AM128" s="7">
        <v>0</v>
      </c>
      <c r="AN128" s="6"/>
      <c r="AO128" s="7">
        <v>0</v>
      </c>
      <c r="AP128" s="6"/>
      <c r="AQ128" s="7">
        <v>0</v>
      </c>
      <c r="AR128" s="6"/>
      <c r="AS128" s="7">
        <v>0</v>
      </c>
      <c r="AT128" s="6"/>
      <c r="AU128" s="7">
        <v>0</v>
      </c>
      <c r="AV128" s="6"/>
      <c r="AW128" s="7">
        <v>0</v>
      </c>
      <c r="AX128" s="6"/>
      <c r="AY128" s="7">
        <v>0</v>
      </c>
      <c r="AZ128" s="6"/>
      <c r="BA128" s="7">
        <v>0</v>
      </c>
      <c r="BB128" s="6"/>
      <c r="BC128" s="7">
        <v>0</v>
      </c>
      <c r="BD128" s="6"/>
      <c r="BE128" s="7">
        <v>0</v>
      </c>
      <c r="BF128" s="6"/>
      <c r="BG128" s="7">
        <v>0</v>
      </c>
      <c r="BH128" s="6"/>
      <c r="BI128" s="7">
        <v>0</v>
      </c>
      <c r="BJ128" s="6"/>
      <c r="BK128" s="7">
        <v>0</v>
      </c>
      <c r="BL128" s="6"/>
      <c r="BM128" s="7">
        <v>0</v>
      </c>
      <c r="BN128" s="6"/>
      <c r="BO128" s="7">
        <v>0</v>
      </c>
      <c r="BP128" s="6"/>
      <c r="BQ128" s="7">
        <f>ROUND(SUM(G128:BO128),5)</f>
        <v>4627.95</v>
      </c>
    </row>
    <row r="129" spans="1:69" ht="15.75" thickBot="1">
      <c r="A129" s="4"/>
      <c r="B129" s="4"/>
      <c r="C129" s="4"/>
      <c r="D129" s="4"/>
      <c r="E129" s="4"/>
      <c r="F129" s="4" t="s">
        <v>210</v>
      </c>
      <c r="G129" s="9">
        <v>11132.71</v>
      </c>
      <c r="H129" s="6"/>
      <c r="I129" s="9">
        <v>0</v>
      </c>
      <c r="J129" s="6"/>
      <c r="K129" s="9">
        <v>0</v>
      </c>
      <c r="L129" s="6"/>
      <c r="M129" s="9">
        <v>0</v>
      </c>
      <c r="N129" s="6"/>
      <c r="O129" s="9">
        <v>0</v>
      </c>
      <c r="P129" s="6"/>
      <c r="Q129" s="9">
        <v>0</v>
      </c>
      <c r="R129" s="6"/>
      <c r="S129" s="9">
        <v>0</v>
      </c>
      <c r="T129" s="6"/>
      <c r="U129" s="9">
        <v>0</v>
      </c>
      <c r="V129" s="6"/>
      <c r="W129" s="9">
        <v>0</v>
      </c>
      <c r="X129" s="6"/>
      <c r="Y129" s="9">
        <v>0</v>
      </c>
      <c r="Z129" s="6"/>
      <c r="AA129" s="9">
        <v>0</v>
      </c>
      <c r="AB129" s="6"/>
      <c r="AC129" s="9">
        <v>0</v>
      </c>
      <c r="AD129" s="6"/>
      <c r="AE129" s="9">
        <v>0</v>
      </c>
      <c r="AF129" s="6"/>
      <c r="AG129" s="9">
        <v>0</v>
      </c>
      <c r="AH129" s="6"/>
      <c r="AI129" s="9">
        <v>0</v>
      </c>
      <c r="AJ129" s="6"/>
      <c r="AK129" s="9">
        <v>0</v>
      </c>
      <c r="AL129" s="6"/>
      <c r="AM129" s="9">
        <v>0</v>
      </c>
      <c r="AN129" s="6"/>
      <c r="AO129" s="9">
        <v>0</v>
      </c>
      <c r="AP129" s="6"/>
      <c r="AQ129" s="9">
        <v>0</v>
      </c>
      <c r="AR129" s="6"/>
      <c r="AS129" s="9">
        <v>0</v>
      </c>
      <c r="AT129" s="6"/>
      <c r="AU129" s="9">
        <v>0</v>
      </c>
      <c r="AV129" s="6"/>
      <c r="AW129" s="9">
        <v>0</v>
      </c>
      <c r="AX129" s="6"/>
      <c r="AY129" s="9">
        <v>0</v>
      </c>
      <c r="AZ129" s="6"/>
      <c r="BA129" s="9">
        <v>0</v>
      </c>
      <c r="BB129" s="6"/>
      <c r="BC129" s="9">
        <v>0</v>
      </c>
      <c r="BD129" s="6"/>
      <c r="BE129" s="9">
        <v>0</v>
      </c>
      <c r="BF129" s="6"/>
      <c r="BG129" s="9">
        <v>0</v>
      </c>
      <c r="BH129" s="6"/>
      <c r="BI129" s="9">
        <v>0</v>
      </c>
      <c r="BJ129" s="6"/>
      <c r="BK129" s="9">
        <v>0</v>
      </c>
      <c r="BL129" s="6"/>
      <c r="BM129" s="9">
        <v>0</v>
      </c>
      <c r="BN129" s="6"/>
      <c r="BO129" s="9">
        <v>0</v>
      </c>
      <c r="BP129" s="6"/>
      <c r="BQ129" s="9">
        <f>ROUND(SUM(G129:BO129),5)</f>
        <v>11132.71</v>
      </c>
    </row>
    <row r="130" spans="1:69">
      <c r="A130" s="4"/>
      <c r="B130" s="4"/>
      <c r="C130" s="4"/>
      <c r="D130" s="4"/>
      <c r="E130" s="4" t="s">
        <v>211</v>
      </c>
      <c r="F130" s="4"/>
      <c r="G130" s="7">
        <f>ROUND(SUM(G115:G129),5)</f>
        <v>124454.6</v>
      </c>
      <c r="H130" s="6"/>
      <c r="I130" s="7">
        <f>ROUND(SUM(I115:I129),5)</f>
        <v>506.63</v>
      </c>
      <c r="J130" s="6"/>
      <c r="K130" s="7">
        <f>ROUND(SUM(K115:K129),5)</f>
        <v>0</v>
      </c>
      <c r="L130" s="6"/>
      <c r="M130" s="7">
        <f>ROUND(SUM(M115:M129),5)</f>
        <v>2759.18</v>
      </c>
      <c r="N130" s="6"/>
      <c r="O130" s="7">
        <f>ROUND(SUM(O115:O129),5)</f>
        <v>0</v>
      </c>
      <c r="P130" s="6"/>
      <c r="Q130" s="7">
        <f>ROUND(SUM(Q115:Q129),5)</f>
        <v>0</v>
      </c>
      <c r="R130" s="6"/>
      <c r="S130" s="7">
        <f>ROUND(SUM(S115:S129),5)</f>
        <v>0</v>
      </c>
      <c r="T130" s="6"/>
      <c r="U130" s="7">
        <f>ROUND(SUM(U115:U129),5)</f>
        <v>3639.97</v>
      </c>
      <c r="V130" s="6"/>
      <c r="W130" s="7">
        <f>ROUND(SUM(W115:W129),5)</f>
        <v>0</v>
      </c>
      <c r="X130" s="6"/>
      <c r="Y130" s="7">
        <f>ROUND(SUM(Y115:Y129),5)</f>
        <v>13360</v>
      </c>
      <c r="Z130" s="6"/>
      <c r="AA130" s="7">
        <f>ROUND(SUM(AA115:AA129),5)</f>
        <v>0</v>
      </c>
      <c r="AB130" s="6"/>
      <c r="AC130" s="7">
        <f>ROUND(SUM(AC115:AC129),5)</f>
        <v>0</v>
      </c>
      <c r="AD130" s="6"/>
      <c r="AE130" s="7">
        <f>ROUND(SUM(AE115:AE129),5)</f>
        <v>0</v>
      </c>
      <c r="AF130" s="6"/>
      <c r="AG130" s="7">
        <f>ROUND(SUM(AG115:AG129),5)</f>
        <v>0</v>
      </c>
      <c r="AH130" s="6"/>
      <c r="AI130" s="7">
        <f>ROUND(SUM(AI115:AI129),5)</f>
        <v>0</v>
      </c>
      <c r="AJ130" s="6"/>
      <c r="AK130" s="7">
        <f>ROUND(SUM(AK115:AK129),5)</f>
        <v>0</v>
      </c>
      <c r="AL130" s="6"/>
      <c r="AM130" s="7">
        <f>ROUND(SUM(AM115:AM129),5)</f>
        <v>0</v>
      </c>
      <c r="AN130" s="6"/>
      <c r="AO130" s="7">
        <f>ROUND(SUM(AO115:AO129),5)</f>
        <v>0</v>
      </c>
      <c r="AP130" s="6"/>
      <c r="AQ130" s="7">
        <f>ROUND(SUM(AQ115:AQ129),5)</f>
        <v>0</v>
      </c>
      <c r="AR130" s="6"/>
      <c r="AS130" s="7">
        <f>ROUND(SUM(AS115:AS129),5)</f>
        <v>0</v>
      </c>
      <c r="AT130" s="6"/>
      <c r="AU130" s="7">
        <f>ROUND(SUM(AU115:AU129),5)</f>
        <v>0</v>
      </c>
      <c r="AV130" s="6"/>
      <c r="AW130" s="7">
        <f>ROUND(SUM(AW115:AW129),5)</f>
        <v>0</v>
      </c>
      <c r="AX130" s="6"/>
      <c r="AY130" s="7">
        <f>ROUND(SUM(AY115:AY129),5)</f>
        <v>11761.78</v>
      </c>
      <c r="AZ130" s="6"/>
      <c r="BA130" s="7">
        <f>ROUND(SUM(BA115:BA129),5)</f>
        <v>0</v>
      </c>
      <c r="BB130" s="6"/>
      <c r="BC130" s="7">
        <f>ROUND(SUM(BC115:BC129),5)</f>
        <v>0</v>
      </c>
      <c r="BD130" s="6"/>
      <c r="BE130" s="7">
        <f>ROUND(SUM(BE115:BE129),5)</f>
        <v>0</v>
      </c>
      <c r="BF130" s="6"/>
      <c r="BG130" s="7">
        <f>ROUND(SUM(BG115:BG129),5)</f>
        <v>0</v>
      </c>
      <c r="BH130" s="6"/>
      <c r="BI130" s="7">
        <f>ROUND(SUM(BI115:BI129),5)</f>
        <v>0</v>
      </c>
      <c r="BJ130" s="6"/>
      <c r="BK130" s="7">
        <f>ROUND(SUM(BK115:BK129),5)</f>
        <v>0</v>
      </c>
      <c r="BL130" s="6"/>
      <c r="BM130" s="7">
        <f>ROUND(SUM(BM115:BM129),5)</f>
        <v>4450</v>
      </c>
      <c r="BN130" s="6"/>
      <c r="BO130" s="7">
        <f>ROUND(SUM(BO115:BO129),5)</f>
        <v>5592.83</v>
      </c>
      <c r="BP130" s="6"/>
      <c r="BQ130" s="7">
        <f>ROUND(SUM(G130:BO130),5)</f>
        <v>166524.99</v>
      </c>
    </row>
    <row r="131" spans="1:69">
      <c r="A131" s="4"/>
      <c r="B131" s="4"/>
      <c r="C131" s="4"/>
      <c r="D131" s="4"/>
      <c r="E131" s="4" t="s">
        <v>212</v>
      </c>
      <c r="F131" s="4"/>
      <c r="G131" s="7"/>
      <c r="H131" s="6"/>
      <c r="I131" s="7"/>
      <c r="J131" s="6"/>
      <c r="K131" s="7"/>
      <c r="L131" s="6"/>
      <c r="M131" s="7"/>
      <c r="N131" s="6"/>
      <c r="O131" s="7"/>
      <c r="P131" s="6"/>
      <c r="Q131" s="7"/>
      <c r="R131" s="6"/>
      <c r="S131" s="7"/>
      <c r="T131" s="6"/>
      <c r="U131" s="7"/>
      <c r="V131" s="6"/>
      <c r="W131" s="7"/>
      <c r="X131" s="6"/>
      <c r="Y131" s="7"/>
      <c r="Z131" s="6"/>
      <c r="AA131" s="7"/>
      <c r="AB131" s="6"/>
      <c r="AC131" s="7"/>
      <c r="AD131" s="6"/>
      <c r="AE131" s="7"/>
      <c r="AF131" s="6"/>
      <c r="AG131" s="7"/>
      <c r="AH131" s="6"/>
      <c r="AI131" s="7"/>
      <c r="AJ131" s="6"/>
      <c r="AK131" s="7"/>
      <c r="AL131" s="6"/>
      <c r="AM131" s="7"/>
      <c r="AN131" s="6"/>
      <c r="AO131" s="7"/>
      <c r="AP131" s="6"/>
      <c r="AQ131" s="7"/>
      <c r="AR131" s="6"/>
      <c r="AS131" s="7"/>
      <c r="AT131" s="6"/>
      <c r="AU131" s="7"/>
      <c r="AV131" s="6"/>
      <c r="AW131" s="7"/>
      <c r="AX131" s="6"/>
      <c r="AY131" s="7"/>
      <c r="AZ131" s="6"/>
      <c r="BA131" s="7"/>
      <c r="BB131" s="6"/>
      <c r="BC131" s="7"/>
      <c r="BD131" s="6"/>
      <c r="BE131" s="7"/>
      <c r="BF131" s="6"/>
      <c r="BG131" s="7"/>
      <c r="BH131" s="6"/>
      <c r="BI131" s="7"/>
      <c r="BJ131" s="6"/>
      <c r="BK131" s="7"/>
      <c r="BL131" s="6"/>
      <c r="BM131" s="7"/>
      <c r="BN131" s="6"/>
      <c r="BO131" s="7"/>
      <c r="BP131" s="6"/>
      <c r="BQ131" s="7"/>
    </row>
    <row r="132" spans="1:69">
      <c r="A132" s="4"/>
      <c r="B132" s="4"/>
      <c r="C132" s="4"/>
      <c r="D132" s="4"/>
      <c r="E132" s="4"/>
      <c r="F132" s="4" t="s">
        <v>213</v>
      </c>
      <c r="G132" s="7">
        <v>247.65</v>
      </c>
      <c r="H132" s="6"/>
      <c r="I132" s="7">
        <v>0</v>
      </c>
      <c r="J132" s="6"/>
      <c r="K132" s="7">
        <v>0</v>
      </c>
      <c r="L132" s="6"/>
      <c r="M132" s="7">
        <v>3000</v>
      </c>
      <c r="N132" s="6"/>
      <c r="O132" s="7">
        <v>0</v>
      </c>
      <c r="P132" s="6"/>
      <c r="Q132" s="7">
        <v>0</v>
      </c>
      <c r="R132" s="6"/>
      <c r="S132" s="7">
        <v>0</v>
      </c>
      <c r="T132" s="6"/>
      <c r="U132" s="7">
        <v>0</v>
      </c>
      <c r="V132" s="6"/>
      <c r="W132" s="7">
        <v>0</v>
      </c>
      <c r="X132" s="6"/>
      <c r="Y132" s="7">
        <v>0</v>
      </c>
      <c r="Z132" s="6"/>
      <c r="AA132" s="7">
        <v>0</v>
      </c>
      <c r="AB132" s="6"/>
      <c r="AC132" s="7">
        <v>0</v>
      </c>
      <c r="AD132" s="6"/>
      <c r="AE132" s="7">
        <v>0</v>
      </c>
      <c r="AF132" s="6"/>
      <c r="AG132" s="7">
        <v>0</v>
      </c>
      <c r="AH132" s="6"/>
      <c r="AI132" s="7">
        <v>0</v>
      </c>
      <c r="AJ132" s="6"/>
      <c r="AK132" s="7">
        <v>0</v>
      </c>
      <c r="AL132" s="6"/>
      <c r="AM132" s="7">
        <v>0</v>
      </c>
      <c r="AN132" s="6"/>
      <c r="AO132" s="7">
        <v>0</v>
      </c>
      <c r="AP132" s="6"/>
      <c r="AQ132" s="7">
        <v>0</v>
      </c>
      <c r="AR132" s="6"/>
      <c r="AS132" s="7">
        <v>0</v>
      </c>
      <c r="AT132" s="6"/>
      <c r="AU132" s="7">
        <v>0</v>
      </c>
      <c r="AV132" s="6"/>
      <c r="AW132" s="7">
        <v>0</v>
      </c>
      <c r="AX132" s="6"/>
      <c r="AY132" s="7">
        <v>0</v>
      </c>
      <c r="AZ132" s="6"/>
      <c r="BA132" s="7">
        <v>0</v>
      </c>
      <c r="BB132" s="6"/>
      <c r="BC132" s="7">
        <v>0</v>
      </c>
      <c r="BD132" s="6"/>
      <c r="BE132" s="7">
        <v>0</v>
      </c>
      <c r="BF132" s="6"/>
      <c r="BG132" s="7">
        <v>0</v>
      </c>
      <c r="BH132" s="6"/>
      <c r="BI132" s="7">
        <v>0</v>
      </c>
      <c r="BJ132" s="6"/>
      <c r="BK132" s="7">
        <v>0</v>
      </c>
      <c r="BL132" s="6"/>
      <c r="BM132" s="7">
        <v>29153.87</v>
      </c>
      <c r="BN132" s="6"/>
      <c r="BO132" s="7">
        <v>121729.27</v>
      </c>
      <c r="BP132" s="6"/>
      <c r="BQ132" s="7">
        <f>ROUND(SUM(G132:BO132),5)</f>
        <v>154130.79</v>
      </c>
    </row>
    <row r="133" spans="1:69">
      <c r="A133" s="4"/>
      <c r="B133" s="4"/>
      <c r="C133" s="4"/>
      <c r="D133" s="4"/>
      <c r="E133" s="4"/>
      <c r="F133" s="4" t="s">
        <v>214</v>
      </c>
      <c r="G133" s="7">
        <v>-161</v>
      </c>
      <c r="H133" s="6"/>
      <c r="I133" s="7">
        <v>0</v>
      </c>
      <c r="J133" s="6"/>
      <c r="K133" s="7">
        <v>0</v>
      </c>
      <c r="L133" s="6"/>
      <c r="M133" s="7">
        <v>5000</v>
      </c>
      <c r="N133" s="6"/>
      <c r="O133" s="7">
        <v>0</v>
      </c>
      <c r="P133" s="6"/>
      <c r="Q133" s="7">
        <v>0</v>
      </c>
      <c r="R133" s="6"/>
      <c r="S133" s="7">
        <v>0</v>
      </c>
      <c r="T133" s="6"/>
      <c r="U133" s="7">
        <v>0</v>
      </c>
      <c r="V133" s="6"/>
      <c r="W133" s="7">
        <v>0</v>
      </c>
      <c r="X133" s="6"/>
      <c r="Y133" s="7">
        <v>0</v>
      </c>
      <c r="Z133" s="6"/>
      <c r="AA133" s="7">
        <v>0</v>
      </c>
      <c r="AB133" s="6"/>
      <c r="AC133" s="7">
        <v>0</v>
      </c>
      <c r="AD133" s="6"/>
      <c r="AE133" s="7">
        <v>0</v>
      </c>
      <c r="AF133" s="6"/>
      <c r="AG133" s="7">
        <v>0</v>
      </c>
      <c r="AH133" s="6"/>
      <c r="AI133" s="7">
        <v>0</v>
      </c>
      <c r="AJ133" s="6"/>
      <c r="AK133" s="7">
        <v>0</v>
      </c>
      <c r="AL133" s="6"/>
      <c r="AM133" s="7">
        <v>0</v>
      </c>
      <c r="AN133" s="6"/>
      <c r="AO133" s="7">
        <v>0</v>
      </c>
      <c r="AP133" s="6"/>
      <c r="AQ133" s="7">
        <v>0</v>
      </c>
      <c r="AR133" s="6"/>
      <c r="AS133" s="7">
        <v>0</v>
      </c>
      <c r="AT133" s="6"/>
      <c r="AU133" s="7">
        <v>0</v>
      </c>
      <c r="AV133" s="6"/>
      <c r="AW133" s="7">
        <v>0</v>
      </c>
      <c r="AX133" s="6"/>
      <c r="AY133" s="7">
        <v>0</v>
      </c>
      <c r="AZ133" s="6"/>
      <c r="BA133" s="7">
        <v>0</v>
      </c>
      <c r="BB133" s="6"/>
      <c r="BC133" s="7">
        <v>0</v>
      </c>
      <c r="BD133" s="6"/>
      <c r="BE133" s="7">
        <v>0</v>
      </c>
      <c r="BF133" s="6"/>
      <c r="BG133" s="7">
        <v>0</v>
      </c>
      <c r="BH133" s="6"/>
      <c r="BI133" s="7">
        <v>0</v>
      </c>
      <c r="BJ133" s="6"/>
      <c r="BK133" s="7">
        <v>0</v>
      </c>
      <c r="BL133" s="6"/>
      <c r="BM133" s="7">
        <v>0</v>
      </c>
      <c r="BN133" s="6"/>
      <c r="BO133" s="7">
        <v>0</v>
      </c>
      <c r="BP133" s="6"/>
      <c r="BQ133" s="7">
        <f>ROUND(SUM(G133:BO133),5)</f>
        <v>4839</v>
      </c>
    </row>
    <row r="134" spans="1:69">
      <c r="A134" s="4"/>
      <c r="B134" s="4"/>
      <c r="C134" s="4"/>
      <c r="D134" s="4"/>
      <c r="E134" s="4"/>
      <c r="F134" s="4" t="s">
        <v>215</v>
      </c>
      <c r="G134" s="7">
        <v>2142.34</v>
      </c>
      <c r="H134" s="6"/>
      <c r="I134" s="7">
        <v>0</v>
      </c>
      <c r="J134" s="6"/>
      <c r="K134" s="7">
        <v>0</v>
      </c>
      <c r="L134" s="6"/>
      <c r="M134" s="7">
        <v>0</v>
      </c>
      <c r="N134" s="6"/>
      <c r="O134" s="7">
        <v>0</v>
      </c>
      <c r="P134" s="6"/>
      <c r="Q134" s="7">
        <v>0</v>
      </c>
      <c r="R134" s="6"/>
      <c r="S134" s="7">
        <v>0</v>
      </c>
      <c r="T134" s="6"/>
      <c r="U134" s="7">
        <v>0</v>
      </c>
      <c r="V134" s="6"/>
      <c r="W134" s="7">
        <v>0</v>
      </c>
      <c r="X134" s="6"/>
      <c r="Y134" s="7">
        <v>0</v>
      </c>
      <c r="Z134" s="6"/>
      <c r="AA134" s="7">
        <v>0</v>
      </c>
      <c r="AB134" s="6"/>
      <c r="AC134" s="7">
        <v>0</v>
      </c>
      <c r="AD134" s="6"/>
      <c r="AE134" s="7">
        <v>0</v>
      </c>
      <c r="AF134" s="6"/>
      <c r="AG134" s="7">
        <v>0</v>
      </c>
      <c r="AH134" s="6"/>
      <c r="AI134" s="7">
        <v>0</v>
      </c>
      <c r="AJ134" s="6"/>
      <c r="AK134" s="7">
        <v>0</v>
      </c>
      <c r="AL134" s="6"/>
      <c r="AM134" s="7">
        <v>0</v>
      </c>
      <c r="AN134" s="6"/>
      <c r="AO134" s="7">
        <v>0</v>
      </c>
      <c r="AP134" s="6"/>
      <c r="AQ134" s="7">
        <v>0</v>
      </c>
      <c r="AR134" s="6"/>
      <c r="AS134" s="7">
        <v>0</v>
      </c>
      <c r="AT134" s="6"/>
      <c r="AU134" s="7">
        <v>0</v>
      </c>
      <c r="AV134" s="6"/>
      <c r="AW134" s="7">
        <v>0</v>
      </c>
      <c r="AX134" s="6"/>
      <c r="AY134" s="7">
        <v>0</v>
      </c>
      <c r="AZ134" s="6"/>
      <c r="BA134" s="7">
        <v>0</v>
      </c>
      <c r="BB134" s="6"/>
      <c r="BC134" s="7">
        <v>0</v>
      </c>
      <c r="BD134" s="6"/>
      <c r="BE134" s="7">
        <v>0</v>
      </c>
      <c r="BF134" s="6"/>
      <c r="BG134" s="7">
        <v>0</v>
      </c>
      <c r="BH134" s="6"/>
      <c r="BI134" s="7">
        <v>0</v>
      </c>
      <c r="BJ134" s="6"/>
      <c r="BK134" s="7">
        <v>0</v>
      </c>
      <c r="BL134" s="6"/>
      <c r="BM134" s="7">
        <v>0</v>
      </c>
      <c r="BN134" s="6"/>
      <c r="BO134" s="7">
        <v>0</v>
      </c>
      <c r="BP134" s="6"/>
      <c r="BQ134" s="7">
        <f>ROUND(SUM(G134:BO134),5)</f>
        <v>2142.34</v>
      </c>
    </row>
    <row r="135" spans="1:69">
      <c r="A135" s="4"/>
      <c r="B135" s="4"/>
      <c r="C135" s="4"/>
      <c r="D135" s="4"/>
      <c r="E135" s="4"/>
      <c r="F135" s="4" t="s">
        <v>216</v>
      </c>
      <c r="G135" s="7">
        <v>-1774.31</v>
      </c>
      <c r="H135" s="6"/>
      <c r="I135" s="7">
        <v>0</v>
      </c>
      <c r="J135" s="6"/>
      <c r="K135" s="7">
        <v>0</v>
      </c>
      <c r="L135" s="6"/>
      <c r="M135" s="7">
        <v>705.72</v>
      </c>
      <c r="N135" s="6"/>
      <c r="O135" s="7">
        <v>0</v>
      </c>
      <c r="P135" s="6"/>
      <c r="Q135" s="7">
        <v>0</v>
      </c>
      <c r="R135" s="6"/>
      <c r="S135" s="7">
        <v>0</v>
      </c>
      <c r="T135" s="6"/>
      <c r="U135" s="7">
        <v>0</v>
      </c>
      <c r="V135" s="6"/>
      <c r="W135" s="7">
        <v>0</v>
      </c>
      <c r="X135" s="6"/>
      <c r="Y135" s="7">
        <v>0</v>
      </c>
      <c r="Z135" s="6"/>
      <c r="AA135" s="7">
        <v>0</v>
      </c>
      <c r="AB135" s="6"/>
      <c r="AC135" s="7">
        <v>0</v>
      </c>
      <c r="AD135" s="6"/>
      <c r="AE135" s="7">
        <v>0</v>
      </c>
      <c r="AF135" s="6"/>
      <c r="AG135" s="7">
        <v>0</v>
      </c>
      <c r="AH135" s="6"/>
      <c r="AI135" s="7">
        <v>0</v>
      </c>
      <c r="AJ135" s="6"/>
      <c r="AK135" s="7">
        <v>0</v>
      </c>
      <c r="AL135" s="6"/>
      <c r="AM135" s="7">
        <v>0</v>
      </c>
      <c r="AN135" s="6"/>
      <c r="AO135" s="7">
        <v>0</v>
      </c>
      <c r="AP135" s="6"/>
      <c r="AQ135" s="7">
        <v>0</v>
      </c>
      <c r="AR135" s="6"/>
      <c r="AS135" s="7">
        <v>0</v>
      </c>
      <c r="AT135" s="6"/>
      <c r="AU135" s="7">
        <v>0</v>
      </c>
      <c r="AV135" s="6"/>
      <c r="AW135" s="7">
        <v>0</v>
      </c>
      <c r="AX135" s="6"/>
      <c r="AY135" s="7">
        <v>0</v>
      </c>
      <c r="AZ135" s="6"/>
      <c r="BA135" s="7">
        <v>0</v>
      </c>
      <c r="BB135" s="6"/>
      <c r="BC135" s="7">
        <v>0</v>
      </c>
      <c r="BD135" s="6"/>
      <c r="BE135" s="7">
        <v>0</v>
      </c>
      <c r="BF135" s="6"/>
      <c r="BG135" s="7">
        <v>0</v>
      </c>
      <c r="BH135" s="6"/>
      <c r="BI135" s="7">
        <v>0</v>
      </c>
      <c r="BJ135" s="6"/>
      <c r="BK135" s="7">
        <v>0</v>
      </c>
      <c r="BL135" s="6"/>
      <c r="BM135" s="7">
        <v>1459.88</v>
      </c>
      <c r="BN135" s="6"/>
      <c r="BO135" s="7">
        <v>9311.9</v>
      </c>
      <c r="BP135" s="6"/>
      <c r="BQ135" s="7">
        <f>ROUND(SUM(G135:BO135),5)</f>
        <v>9703.19</v>
      </c>
    </row>
    <row r="136" spans="1:69">
      <c r="A136" s="4"/>
      <c r="B136" s="4"/>
      <c r="C136" s="4"/>
      <c r="D136" s="4"/>
      <c r="E136" s="4"/>
      <c r="F136" s="4" t="s">
        <v>217</v>
      </c>
      <c r="G136" s="7">
        <v>5814.53</v>
      </c>
      <c r="H136" s="6"/>
      <c r="I136" s="7">
        <v>0</v>
      </c>
      <c r="J136" s="6"/>
      <c r="K136" s="7">
        <v>0</v>
      </c>
      <c r="L136" s="6"/>
      <c r="M136" s="7">
        <v>0</v>
      </c>
      <c r="N136" s="6"/>
      <c r="O136" s="7">
        <v>0</v>
      </c>
      <c r="P136" s="6"/>
      <c r="Q136" s="7">
        <v>0</v>
      </c>
      <c r="R136" s="6"/>
      <c r="S136" s="7">
        <v>0</v>
      </c>
      <c r="T136" s="6"/>
      <c r="U136" s="7">
        <v>0</v>
      </c>
      <c r="V136" s="6"/>
      <c r="W136" s="7">
        <v>0</v>
      </c>
      <c r="X136" s="6"/>
      <c r="Y136" s="7">
        <v>0</v>
      </c>
      <c r="Z136" s="6"/>
      <c r="AA136" s="7">
        <v>0</v>
      </c>
      <c r="AB136" s="6"/>
      <c r="AC136" s="7">
        <v>0</v>
      </c>
      <c r="AD136" s="6"/>
      <c r="AE136" s="7">
        <v>0</v>
      </c>
      <c r="AF136" s="6"/>
      <c r="AG136" s="7">
        <v>0</v>
      </c>
      <c r="AH136" s="6"/>
      <c r="AI136" s="7">
        <v>0</v>
      </c>
      <c r="AJ136" s="6"/>
      <c r="AK136" s="7">
        <v>0</v>
      </c>
      <c r="AL136" s="6"/>
      <c r="AM136" s="7">
        <v>0</v>
      </c>
      <c r="AN136" s="6"/>
      <c r="AO136" s="7">
        <v>0</v>
      </c>
      <c r="AP136" s="6"/>
      <c r="AQ136" s="7">
        <v>0</v>
      </c>
      <c r="AR136" s="6"/>
      <c r="AS136" s="7">
        <v>0</v>
      </c>
      <c r="AT136" s="6"/>
      <c r="AU136" s="7">
        <v>0</v>
      </c>
      <c r="AV136" s="6"/>
      <c r="AW136" s="7">
        <v>0</v>
      </c>
      <c r="AX136" s="6"/>
      <c r="AY136" s="7">
        <v>0</v>
      </c>
      <c r="AZ136" s="6"/>
      <c r="BA136" s="7">
        <v>0</v>
      </c>
      <c r="BB136" s="6"/>
      <c r="BC136" s="7">
        <v>0</v>
      </c>
      <c r="BD136" s="6"/>
      <c r="BE136" s="7">
        <v>0</v>
      </c>
      <c r="BF136" s="6"/>
      <c r="BG136" s="7">
        <v>0</v>
      </c>
      <c r="BH136" s="6"/>
      <c r="BI136" s="7">
        <v>0</v>
      </c>
      <c r="BJ136" s="6"/>
      <c r="BK136" s="7">
        <v>0</v>
      </c>
      <c r="BL136" s="6"/>
      <c r="BM136" s="7">
        <v>2024.68</v>
      </c>
      <c r="BN136" s="6"/>
      <c r="BO136" s="7">
        <v>0</v>
      </c>
      <c r="BP136" s="6"/>
      <c r="BQ136" s="7">
        <f>ROUND(SUM(G136:BO136),5)</f>
        <v>7839.21</v>
      </c>
    </row>
    <row r="137" spans="1:69" ht="15.75" thickBot="1">
      <c r="A137" s="4"/>
      <c r="B137" s="4"/>
      <c r="C137" s="4"/>
      <c r="D137" s="4"/>
      <c r="E137" s="4"/>
      <c r="F137" s="4" t="s">
        <v>218</v>
      </c>
      <c r="G137" s="9">
        <v>5407.1</v>
      </c>
      <c r="H137" s="6"/>
      <c r="I137" s="9">
        <v>0</v>
      </c>
      <c r="J137" s="6"/>
      <c r="K137" s="9">
        <v>0</v>
      </c>
      <c r="L137" s="6"/>
      <c r="M137" s="9">
        <v>0</v>
      </c>
      <c r="N137" s="6"/>
      <c r="O137" s="9">
        <v>0</v>
      </c>
      <c r="P137" s="6"/>
      <c r="Q137" s="9">
        <v>0</v>
      </c>
      <c r="R137" s="6"/>
      <c r="S137" s="9">
        <v>0</v>
      </c>
      <c r="T137" s="6"/>
      <c r="U137" s="9">
        <v>0</v>
      </c>
      <c r="V137" s="6"/>
      <c r="W137" s="9">
        <v>0</v>
      </c>
      <c r="X137" s="6"/>
      <c r="Y137" s="9">
        <v>0</v>
      </c>
      <c r="Z137" s="6"/>
      <c r="AA137" s="9">
        <v>0</v>
      </c>
      <c r="AB137" s="6"/>
      <c r="AC137" s="9">
        <v>0</v>
      </c>
      <c r="AD137" s="6"/>
      <c r="AE137" s="9">
        <v>0</v>
      </c>
      <c r="AF137" s="6"/>
      <c r="AG137" s="9">
        <v>0</v>
      </c>
      <c r="AH137" s="6"/>
      <c r="AI137" s="9">
        <v>0</v>
      </c>
      <c r="AJ137" s="6"/>
      <c r="AK137" s="9">
        <v>0</v>
      </c>
      <c r="AL137" s="6"/>
      <c r="AM137" s="9">
        <v>0</v>
      </c>
      <c r="AN137" s="6"/>
      <c r="AO137" s="9">
        <v>0</v>
      </c>
      <c r="AP137" s="6"/>
      <c r="AQ137" s="9">
        <v>0</v>
      </c>
      <c r="AR137" s="6"/>
      <c r="AS137" s="9">
        <v>0</v>
      </c>
      <c r="AT137" s="6"/>
      <c r="AU137" s="9">
        <v>0</v>
      </c>
      <c r="AV137" s="6"/>
      <c r="AW137" s="9">
        <v>0</v>
      </c>
      <c r="AX137" s="6"/>
      <c r="AY137" s="9">
        <v>0</v>
      </c>
      <c r="AZ137" s="6"/>
      <c r="BA137" s="9">
        <v>0</v>
      </c>
      <c r="BB137" s="6"/>
      <c r="BC137" s="9">
        <v>0</v>
      </c>
      <c r="BD137" s="6"/>
      <c r="BE137" s="9">
        <v>0</v>
      </c>
      <c r="BF137" s="6"/>
      <c r="BG137" s="9">
        <v>0</v>
      </c>
      <c r="BH137" s="6"/>
      <c r="BI137" s="9">
        <v>0</v>
      </c>
      <c r="BJ137" s="6"/>
      <c r="BK137" s="9">
        <v>0</v>
      </c>
      <c r="BL137" s="6"/>
      <c r="BM137" s="9">
        <v>0</v>
      </c>
      <c r="BN137" s="6"/>
      <c r="BO137" s="9">
        <v>0</v>
      </c>
      <c r="BP137" s="6"/>
      <c r="BQ137" s="9">
        <f>ROUND(SUM(G137:BO137),5)</f>
        <v>5407.1</v>
      </c>
    </row>
    <row r="138" spans="1:69">
      <c r="A138" s="4"/>
      <c r="B138" s="4"/>
      <c r="C138" s="4"/>
      <c r="D138" s="4"/>
      <c r="E138" s="4" t="s">
        <v>219</v>
      </c>
      <c r="F138" s="4"/>
      <c r="G138" s="7">
        <f>ROUND(SUM(G131:G137),5)</f>
        <v>11676.31</v>
      </c>
      <c r="H138" s="6"/>
      <c r="I138" s="7">
        <f>ROUND(SUM(I131:I137),5)</f>
        <v>0</v>
      </c>
      <c r="J138" s="6"/>
      <c r="K138" s="7">
        <f>ROUND(SUM(K131:K137),5)</f>
        <v>0</v>
      </c>
      <c r="L138" s="6"/>
      <c r="M138" s="7">
        <f>ROUND(SUM(M131:M137),5)</f>
        <v>8705.7199999999993</v>
      </c>
      <c r="N138" s="6"/>
      <c r="O138" s="7">
        <f>ROUND(SUM(O131:O137),5)</f>
        <v>0</v>
      </c>
      <c r="P138" s="6"/>
      <c r="Q138" s="7">
        <f>ROUND(SUM(Q131:Q137),5)</f>
        <v>0</v>
      </c>
      <c r="R138" s="6"/>
      <c r="S138" s="7">
        <f>ROUND(SUM(S131:S137),5)</f>
        <v>0</v>
      </c>
      <c r="T138" s="6"/>
      <c r="U138" s="7">
        <f>ROUND(SUM(U131:U137),5)</f>
        <v>0</v>
      </c>
      <c r="V138" s="6"/>
      <c r="W138" s="7">
        <f>ROUND(SUM(W131:W137),5)</f>
        <v>0</v>
      </c>
      <c r="X138" s="6"/>
      <c r="Y138" s="7">
        <f>ROUND(SUM(Y131:Y137),5)</f>
        <v>0</v>
      </c>
      <c r="Z138" s="6"/>
      <c r="AA138" s="7">
        <f>ROUND(SUM(AA131:AA137),5)</f>
        <v>0</v>
      </c>
      <c r="AB138" s="6"/>
      <c r="AC138" s="7">
        <f>ROUND(SUM(AC131:AC137),5)</f>
        <v>0</v>
      </c>
      <c r="AD138" s="6"/>
      <c r="AE138" s="7">
        <f>ROUND(SUM(AE131:AE137),5)</f>
        <v>0</v>
      </c>
      <c r="AF138" s="6"/>
      <c r="AG138" s="7">
        <f>ROUND(SUM(AG131:AG137),5)</f>
        <v>0</v>
      </c>
      <c r="AH138" s="6"/>
      <c r="AI138" s="7">
        <f>ROUND(SUM(AI131:AI137),5)</f>
        <v>0</v>
      </c>
      <c r="AJ138" s="6"/>
      <c r="AK138" s="7">
        <f>ROUND(SUM(AK131:AK137),5)</f>
        <v>0</v>
      </c>
      <c r="AL138" s="6"/>
      <c r="AM138" s="7">
        <f>ROUND(SUM(AM131:AM137),5)</f>
        <v>0</v>
      </c>
      <c r="AN138" s="6"/>
      <c r="AO138" s="7">
        <f>ROUND(SUM(AO131:AO137),5)</f>
        <v>0</v>
      </c>
      <c r="AP138" s="6"/>
      <c r="AQ138" s="7">
        <f>ROUND(SUM(AQ131:AQ137),5)</f>
        <v>0</v>
      </c>
      <c r="AR138" s="6"/>
      <c r="AS138" s="7">
        <f>ROUND(SUM(AS131:AS137),5)</f>
        <v>0</v>
      </c>
      <c r="AT138" s="6"/>
      <c r="AU138" s="7">
        <f>ROUND(SUM(AU131:AU137),5)</f>
        <v>0</v>
      </c>
      <c r="AV138" s="6"/>
      <c r="AW138" s="7">
        <f>ROUND(SUM(AW131:AW137),5)</f>
        <v>0</v>
      </c>
      <c r="AX138" s="6"/>
      <c r="AY138" s="7">
        <f>ROUND(SUM(AY131:AY137),5)</f>
        <v>0</v>
      </c>
      <c r="AZ138" s="6"/>
      <c r="BA138" s="7">
        <f>ROUND(SUM(BA131:BA137),5)</f>
        <v>0</v>
      </c>
      <c r="BB138" s="6"/>
      <c r="BC138" s="7">
        <f>ROUND(SUM(BC131:BC137),5)</f>
        <v>0</v>
      </c>
      <c r="BD138" s="6"/>
      <c r="BE138" s="7">
        <f>ROUND(SUM(BE131:BE137),5)</f>
        <v>0</v>
      </c>
      <c r="BF138" s="6"/>
      <c r="BG138" s="7">
        <f>ROUND(SUM(BG131:BG137),5)</f>
        <v>0</v>
      </c>
      <c r="BH138" s="6"/>
      <c r="BI138" s="7">
        <f>ROUND(SUM(BI131:BI137),5)</f>
        <v>0</v>
      </c>
      <c r="BJ138" s="6"/>
      <c r="BK138" s="7">
        <f>ROUND(SUM(BK131:BK137),5)</f>
        <v>0</v>
      </c>
      <c r="BL138" s="6"/>
      <c r="BM138" s="7">
        <f>ROUND(SUM(BM131:BM137),5)</f>
        <v>32638.43</v>
      </c>
      <c r="BN138" s="6"/>
      <c r="BO138" s="7">
        <f>ROUND(SUM(BO131:BO137),5)</f>
        <v>131041.17</v>
      </c>
      <c r="BP138" s="6"/>
      <c r="BQ138" s="7">
        <f>ROUND(SUM(G138:BO138),5)</f>
        <v>184061.63</v>
      </c>
    </row>
    <row r="139" spans="1:69">
      <c r="A139" s="4"/>
      <c r="B139" s="4"/>
      <c r="C139" s="4"/>
      <c r="D139" s="4"/>
      <c r="E139" s="4" t="s">
        <v>220</v>
      </c>
      <c r="F139" s="4"/>
      <c r="G139" s="7"/>
      <c r="H139" s="6"/>
      <c r="I139" s="7"/>
      <c r="J139" s="6"/>
      <c r="K139" s="7"/>
      <c r="L139" s="6"/>
      <c r="M139" s="7"/>
      <c r="N139" s="6"/>
      <c r="O139" s="7"/>
      <c r="P139" s="6"/>
      <c r="Q139" s="7"/>
      <c r="R139" s="6"/>
      <c r="S139" s="7"/>
      <c r="T139" s="6"/>
      <c r="U139" s="7"/>
      <c r="V139" s="6"/>
      <c r="W139" s="7"/>
      <c r="X139" s="6"/>
      <c r="Y139" s="7"/>
      <c r="Z139" s="6"/>
      <c r="AA139" s="7"/>
      <c r="AB139" s="6"/>
      <c r="AC139" s="7"/>
      <c r="AD139" s="6"/>
      <c r="AE139" s="7"/>
      <c r="AF139" s="6"/>
      <c r="AG139" s="7"/>
      <c r="AH139" s="6"/>
      <c r="AI139" s="7"/>
      <c r="AJ139" s="6"/>
      <c r="AK139" s="7"/>
      <c r="AL139" s="6"/>
      <c r="AM139" s="7"/>
      <c r="AN139" s="6"/>
      <c r="AO139" s="7"/>
      <c r="AP139" s="6"/>
      <c r="AQ139" s="7"/>
      <c r="AR139" s="6"/>
      <c r="AS139" s="7"/>
      <c r="AT139" s="6"/>
      <c r="AU139" s="7"/>
      <c r="AV139" s="6"/>
      <c r="AW139" s="7"/>
      <c r="AX139" s="6"/>
      <c r="AY139" s="7"/>
      <c r="AZ139" s="6"/>
      <c r="BA139" s="7"/>
      <c r="BB139" s="6"/>
      <c r="BC139" s="7"/>
      <c r="BD139" s="6"/>
      <c r="BE139" s="7"/>
      <c r="BF139" s="6"/>
      <c r="BG139" s="7"/>
      <c r="BH139" s="6"/>
      <c r="BI139" s="7"/>
      <c r="BJ139" s="6"/>
      <c r="BK139" s="7"/>
      <c r="BL139" s="6"/>
      <c r="BM139" s="7"/>
      <c r="BN139" s="6"/>
      <c r="BO139" s="7"/>
      <c r="BP139" s="6"/>
      <c r="BQ139" s="7"/>
    </row>
    <row r="140" spans="1:69" ht="15.75" thickBot="1">
      <c r="A140" s="4"/>
      <c r="B140" s="4"/>
      <c r="C140" s="4"/>
      <c r="D140" s="4"/>
      <c r="E140" s="4"/>
      <c r="F140" s="4" t="s">
        <v>221</v>
      </c>
      <c r="G140" s="9">
        <v>0</v>
      </c>
      <c r="H140" s="6"/>
      <c r="I140" s="9">
        <v>0</v>
      </c>
      <c r="J140" s="6"/>
      <c r="K140" s="9">
        <v>0</v>
      </c>
      <c r="L140" s="6"/>
      <c r="M140" s="9">
        <v>0</v>
      </c>
      <c r="N140" s="6"/>
      <c r="O140" s="9">
        <v>0</v>
      </c>
      <c r="P140" s="6"/>
      <c r="Q140" s="9">
        <v>0</v>
      </c>
      <c r="R140" s="6"/>
      <c r="S140" s="9">
        <v>0</v>
      </c>
      <c r="T140" s="6"/>
      <c r="U140" s="9">
        <v>0</v>
      </c>
      <c r="V140" s="6"/>
      <c r="W140" s="9">
        <v>0</v>
      </c>
      <c r="X140" s="6"/>
      <c r="Y140" s="9">
        <v>0</v>
      </c>
      <c r="Z140" s="6"/>
      <c r="AA140" s="9">
        <v>0</v>
      </c>
      <c r="AB140" s="6"/>
      <c r="AC140" s="9">
        <v>0</v>
      </c>
      <c r="AD140" s="6"/>
      <c r="AE140" s="9">
        <v>0</v>
      </c>
      <c r="AF140" s="6"/>
      <c r="AG140" s="9">
        <v>295866.17</v>
      </c>
      <c r="AH140" s="6"/>
      <c r="AI140" s="9">
        <v>0</v>
      </c>
      <c r="AJ140" s="6"/>
      <c r="AK140" s="9">
        <v>0</v>
      </c>
      <c r="AL140" s="6"/>
      <c r="AM140" s="9">
        <v>0</v>
      </c>
      <c r="AN140" s="6"/>
      <c r="AO140" s="9">
        <v>0</v>
      </c>
      <c r="AP140" s="6"/>
      <c r="AQ140" s="9">
        <v>0</v>
      </c>
      <c r="AR140" s="6"/>
      <c r="AS140" s="9">
        <v>0</v>
      </c>
      <c r="AT140" s="6"/>
      <c r="AU140" s="9">
        <v>0</v>
      </c>
      <c r="AV140" s="6"/>
      <c r="AW140" s="9">
        <v>0</v>
      </c>
      <c r="AX140" s="6"/>
      <c r="AY140" s="9">
        <v>0</v>
      </c>
      <c r="AZ140" s="6"/>
      <c r="BA140" s="9">
        <v>0</v>
      </c>
      <c r="BB140" s="6"/>
      <c r="BC140" s="9">
        <v>0</v>
      </c>
      <c r="BD140" s="6"/>
      <c r="BE140" s="9">
        <v>0</v>
      </c>
      <c r="BF140" s="6"/>
      <c r="BG140" s="9">
        <v>0</v>
      </c>
      <c r="BH140" s="6"/>
      <c r="BI140" s="9">
        <v>0</v>
      </c>
      <c r="BJ140" s="6"/>
      <c r="BK140" s="9">
        <v>0</v>
      </c>
      <c r="BL140" s="6"/>
      <c r="BM140" s="9">
        <v>0</v>
      </c>
      <c r="BN140" s="6"/>
      <c r="BO140" s="9">
        <v>0</v>
      </c>
      <c r="BP140" s="6"/>
      <c r="BQ140" s="9">
        <f>ROUND(SUM(G140:BO140),5)</f>
        <v>295866.17</v>
      </c>
    </row>
    <row r="141" spans="1:69">
      <c r="A141" s="4"/>
      <c r="B141" s="4"/>
      <c r="C141" s="4"/>
      <c r="D141" s="4"/>
      <c r="E141" s="4" t="s">
        <v>222</v>
      </c>
      <c r="F141" s="4"/>
      <c r="G141" s="7">
        <f>ROUND(SUM(G139:G140),5)</f>
        <v>0</v>
      </c>
      <c r="H141" s="6"/>
      <c r="I141" s="7">
        <f>ROUND(SUM(I139:I140),5)</f>
        <v>0</v>
      </c>
      <c r="J141" s="6"/>
      <c r="K141" s="7">
        <f>ROUND(SUM(K139:K140),5)</f>
        <v>0</v>
      </c>
      <c r="L141" s="6"/>
      <c r="M141" s="7">
        <f>ROUND(SUM(M139:M140),5)</f>
        <v>0</v>
      </c>
      <c r="N141" s="6"/>
      <c r="O141" s="7">
        <f>ROUND(SUM(O139:O140),5)</f>
        <v>0</v>
      </c>
      <c r="P141" s="6"/>
      <c r="Q141" s="7">
        <f>ROUND(SUM(Q139:Q140),5)</f>
        <v>0</v>
      </c>
      <c r="R141" s="6"/>
      <c r="S141" s="7">
        <f>ROUND(SUM(S139:S140),5)</f>
        <v>0</v>
      </c>
      <c r="T141" s="6"/>
      <c r="U141" s="7">
        <f>ROUND(SUM(U139:U140),5)</f>
        <v>0</v>
      </c>
      <c r="V141" s="6"/>
      <c r="W141" s="7">
        <f>ROUND(SUM(W139:W140),5)</f>
        <v>0</v>
      </c>
      <c r="X141" s="6"/>
      <c r="Y141" s="7">
        <f>ROUND(SUM(Y139:Y140),5)</f>
        <v>0</v>
      </c>
      <c r="Z141" s="6"/>
      <c r="AA141" s="7">
        <f>ROUND(SUM(AA139:AA140),5)</f>
        <v>0</v>
      </c>
      <c r="AB141" s="6"/>
      <c r="AC141" s="7">
        <f>ROUND(SUM(AC139:AC140),5)</f>
        <v>0</v>
      </c>
      <c r="AD141" s="6"/>
      <c r="AE141" s="7">
        <f>ROUND(SUM(AE139:AE140),5)</f>
        <v>0</v>
      </c>
      <c r="AF141" s="6"/>
      <c r="AG141" s="7">
        <f>ROUND(SUM(AG139:AG140),5)</f>
        <v>295866.17</v>
      </c>
      <c r="AH141" s="6"/>
      <c r="AI141" s="7">
        <f>ROUND(SUM(AI139:AI140),5)</f>
        <v>0</v>
      </c>
      <c r="AJ141" s="6"/>
      <c r="AK141" s="7">
        <f>ROUND(SUM(AK139:AK140),5)</f>
        <v>0</v>
      </c>
      <c r="AL141" s="6"/>
      <c r="AM141" s="7">
        <f>ROUND(SUM(AM139:AM140),5)</f>
        <v>0</v>
      </c>
      <c r="AN141" s="6"/>
      <c r="AO141" s="7">
        <f>ROUND(SUM(AO139:AO140),5)</f>
        <v>0</v>
      </c>
      <c r="AP141" s="6"/>
      <c r="AQ141" s="7">
        <f>ROUND(SUM(AQ139:AQ140),5)</f>
        <v>0</v>
      </c>
      <c r="AR141" s="6"/>
      <c r="AS141" s="7">
        <f>ROUND(SUM(AS139:AS140),5)</f>
        <v>0</v>
      </c>
      <c r="AT141" s="6"/>
      <c r="AU141" s="7">
        <f>ROUND(SUM(AU139:AU140),5)</f>
        <v>0</v>
      </c>
      <c r="AV141" s="6"/>
      <c r="AW141" s="7">
        <f>ROUND(SUM(AW139:AW140),5)</f>
        <v>0</v>
      </c>
      <c r="AX141" s="6"/>
      <c r="AY141" s="7">
        <f>ROUND(SUM(AY139:AY140),5)</f>
        <v>0</v>
      </c>
      <c r="AZ141" s="6"/>
      <c r="BA141" s="7">
        <f>ROUND(SUM(BA139:BA140),5)</f>
        <v>0</v>
      </c>
      <c r="BB141" s="6"/>
      <c r="BC141" s="7">
        <f>ROUND(SUM(BC139:BC140),5)</f>
        <v>0</v>
      </c>
      <c r="BD141" s="6"/>
      <c r="BE141" s="7">
        <f>ROUND(SUM(BE139:BE140),5)</f>
        <v>0</v>
      </c>
      <c r="BF141" s="6"/>
      <c r="BG141" s="7">
        <f>ROUND(SUM(BG139:BG140),5)</f>
        <v>0</v>
      </c>
      <c r="BH141" s="6"/>
      <c r="BI141" s="7">
        <f>ROUND(SUM(BI139:BI140),5)</f>
        <v>0</v>
      </c>
      <c r="BJ141" s="6"/>
      <c r="BK141" s="7">
        <f>ROUND(SUM(BK139:BK140),5)</f>
        <v>0</v>
      </c>
      <c r="BL141" s="6"/>
      <c r="BM141" s="7">
        <f>ROUND(SUM(BM139:BM140),5)</f>
        <v>0</v>
      </c>
      <c r="BN141" s="6"/>
      <c r="BO141" s="7">
        <f>ROUND(SUM(BO139:BO140),5)</f>
        <v>0</v>
      </c>
      <c r="BP141" s="6"/>
      <c r="BQ141" s="7">
        <f>ROUND(SUM(G141:BO141),5)</f>
        <v>295866.17</v>
      </c>
    </row>
    <row r="142" spans="1:69">
      <c r="A142" s="4"/>
      <c r="B142" s="4"/>
      <c r="C142" s="4"/>
      <c r="D142" s="4"/>
      <c r="E142" s="4" t="s">
        <v>223</v>
      </c>
      <c r="F142" s="4"/>
      <c r="G142" s="7"/>
      <c r="H142" s="6"/>
      <c r="I142" s="7"/>
      <c r="J142" s="6"/>
      <c r="K142" s="7"/>
      <c r="L142" s="6"/>
      <c r="M142" s="7"/>
      <c r="N142" s="6"/>
      <c r="O142" s="7"/>
      <c r="P142" s="6"/>
      <c r="Q142" s="7"/>
      <c r="R142" s="6"/>
      <c r="S142" s="7"/>
      <c r="T142" s="6"/>
      <c r="U142" s="7"/>
      <c r="V142" s="6"/>
      <c r="W142" s="7"/>
      <c r="X142" s="6"/>
      <c r="Y142" s="7"/>
      <c r="Z142" s="6"/>
      <c r="AA142" s="7"/>
      <c r="AB142" s="6"/>
      <c r="AC142" s="7"/>
      <c r="AD142" s="6"/>
      <c r="AE142" s="7"/>
      <c r="AF142" s="6"/>
      <c r="AG142" s="7"/>
      <c r="AH142" s="6"/>
      <c r="AI142" s="7"/>
      <c r="AJ142" s="6"/>
      <c r="AK142" s="7"/>
      <c r="AL142" s="6"/>
      <c r="AM142" s="7"/>
      <c r="AN142" s="6"/>
      <c r="AO142" s="7"/>
      <c r="AP142" s="6"/>
      <c r="AQ142" s="7"/>
      <c r="AR142" s="6"/>
      <c r="AS142" s="7"/>
      <c r="AT142" s="6"/>
      <c r="AU142" s="7"/>
      <c r="AV142" s="6"/>
      <c r="AW142" s="7"/>
      <c r="AX142" s="6"/>
      <c r="AY142" s="7"/>
      <c r="AZ142" s="6"/>
      <c r="BA142" s="7"/>
      <c r="BB142" s="6"/>
      <c r="BC142" s="7"/>
      <c r="BD142" s="6"/>
      <c r="BE142" s="7"/>
      <c r="BF142" s="6"/>
      <c r="BG142" s="7"/>
      <c r="BH142" s="6"/>
      <c r="BI142" s="7"/>
      <c r="BJ142" s="6"/>
      <c r="BK142" s="7"/>
      <c r="BL142" s="6"/>
      <c r="BM142" s="7"/>
      <c r="BN142" s="6"/>
      <c r="BO142" s="7"/>
      <c r="BP142" s="6"/>
      <c r="BQ142" s="7"/>
    </row>
    <row r="143" spans="1:69" ht="15.75" thickBot="1">
      <c r="A143" s="4"/>
      <c r="B143" s="4"/>
      <c r="C143" s="4"/>
      <c r="D143" s="4"/>
      <c r="E143" s="4"/>
      <c r="F143" s="4" t="s">
        <v>224</v>
      </c>
      <c r="G143" s="9">
        <v>0</v>
      </c>
      <c r="H143" s="6"/>
      <c r="I143" s="9">
        <v>0</v>
      </c>
      <c r="J143" s="6"/>
      <c r="K143" s="9">
        <v>0</v>
      </c>
      <c r="L143" s="6"/>
      <c r="M143" s="9">
        <v>0</v>
      </c>
      <c r="N143" s="6"/>
      <c r="O143" s="9">
        <v>0</v>
      </c>
      <c r="P143" s="6"/>
      <c r="Q143" s="9">
        <v>0</v>
      </c>
      <c r="R143" s="6"/>
      <c r="S143" s="9">
        <v>0</v>
      </c>
      <c r="T143" s="6"/>
      <c r="U143" s="9">
        <v>0</v>
      </c>
      <c r="V143" s="6"/>
      <c r="W143" s="9">
        <v>0</v>
      </c>
      <c r="X143" s="6"/>
      <c r="Y143" s="9">
        <v>0</v>
      </c>
      <c r="Z143" s="6"/>
      <c r="AA143" s="9">
        <v>0</v>
      </c>
      <c r="AB143" s="6"/>
      <c r="AC143" s="9">
        <v>0</v>
      </c>
      <c r="AD143" s="6"/>
      <c r="AE143" s="9">
        <v>0</v>
      </c>
      <c r="AF143" s="6"/>
      <c r="AG143" s="9">
        <v>44665.5</v>
      </c>
      <c r="AH143" s="6"/>
      <c r="AI143" s="9">
        <v>7.72</v>
      </c>
      <c r="AJ143" s="6"/>
      <c r="AK143" s="9">
        <v>0</v>
      </c>
      <c r="AL143" s="6"/>
      <c r="AM143" s="9">
        <v>0</v>
      </c>
      <c r="AN143" s="6"/>
      <c r="AO143" s="9">
        <v>0</v>
      </c>
      <c r="AP143" s="6"/>
      <c r="AQ143" s="9">
        <v>0</v>
      </c>
      <c r="AR143" s="6"/>
      <c r="AS143" s="9">
        <v>0</v>
      </c>
      <c r="AT143" s="6"/>
      <c r="AU143" s="9">
        <v>0</v>
      </c>
      <c r="AV143" s="6"/>
      <c r="AW143" s="9">
        <v>0</v>
      </c>
      <c r="AX143" s="6"/>
      <c r="AY143" s="9">
        <v>0</v>
      </c>
      <c r="AZ143" s="6"/>
      <c r="BA143" s="9">
        <v>0</v>
      </c>
      <c r="BB143" s="6"/>
      <c r="BC143" s="9">
        <v>0</v>
      </c>
      <c r="BD143" s="6"/>
      <c r="BE143" s="9">
        <v>0</v>
      </c>
      <c r="BF143" s="6"/>
      <c r="BG143" s="9">
        <v>0</v>
      </c>
      <c r="BH143" s="6"/>
      <c r="BI143" s="9">
        <v>0</v>
      </c>
      <c r="BJ143" s="6"/>
      <c r="BK143" s="9">
        <v>0</v>
      </c>
      <c r="BL143" s="6"/>
      <c r="BM143" s="9">
        <v>0</v>
      </c>
      <c r="BN143" s="6"/>
      <c r="BO143" s="9">
        <v>0</v>
      </c>
      <c r="BP143" s="6"/>
      <c r="BQ143" s="9">
        <f>ROUND(SUM(G143:BO143),5)</f>
        <v>44673.22</v>
      </c>
    </row>
    <row r="144" spans="1:69">
      <c r="A144" s="4"/>
      <c r="B144" s="4"/>
      <c r="C144" s="4"/>
      <c r="D144" s="4"/>
      <c r="E144" s="4" t="s">
        <v>225</v>
      </c>
      <c r="F144" s="4"/>
      <c r="G144" s="7">
        <f>ROUND(SUM(G142:G143),5)</f>
        <v>0</v>
      </c>
      <c r="H144" s="6"/>
      <c r="I144" s="7">
        <f>ROUND(SUM(I142:I143),5)</f>
        <v>0</v>
      </c>
      <c r="J144" s="6"/>
      <c r="K144" s="7">
        <f>ROUND(SUM(K142:K143),5)</f>
        <v>0</v>
      </c>
      <c r="L144" s="6"/>
      <c r="M144" s="7">
        <f>ROUND(SUM(M142:M143),5)</f>
        <v>0</v>
      </c>
      <c r="N144" s="6"/>
      <c r="O144" s="7">
        <f>ROUND(SUM(O142:O143),5)</f>
        <v>0</v>
      </c>
      <c r="P144" s="6"/>
      <c r="Q144" s="7">
        <f>ROUND(SUM(Q142:Q143),5)</f>
        <v>0</v>
      </c>
      <c r="R144" s="6"/>
      <c r="S144" s="7">
        <f>ROUND(SUM(S142:S143),5)</f>
        <v>0</v>
      </c>
      <c r="T144" s="6"/>
      <c r="U144" s="7">
        <f>ROUND(SUM(U142:U143),5)</f>
        <v>0</v>
      </c>
      <c r="V144" s="6"/>
      <c r="W144" s="7">
        <f>ROUND(SUM(W142:W143),5)</f>
        <v>0</v>
      </c>
      <c r="X144" s="6"/>
      <c r="Y144" s="7">
        <f>ROUND(SUM(Y142:Y143),5)</f>
        <v>0</v>
      </c>
      <c r="Z144" s="6"/>
      <c r="AA144" s="7">
        <f>ROUND(SUM(AA142:AA143),5)</f>
        <v>0</v>
      </c>
      <c r="AB144" s="6"/>
      <c r="AC144" s="7">
        <f>ROUND(SUM(AC142:AC143),5)</f>
        <v>0</v>
      </c>
      <c r="AD144" s="6"/>
      <c r="AE144" s="7">
        <f>ROUND(SUM(AE142:AE143),5)</f>
        <v>0</v>
      </c>
      <c r="AF144" s="6"/>
      <c r="AG144" s="7">
        <f>ROUND(SUM(AG142:AG143),5)</f>
        <v>44665.5</v>
      </c>
      <c r="AH144" s="6"/>
      <c r="AI144" s="7">
        <f>ROUND(SUM(AI142:AI143),5)</f>
        <v>7.72</v>
      </c>
      <c r="AJ144" s="6"/>
      <c r="AK144" s="7">
        <f>ROUND(SUM(AK142:AK143),5)</f>
        <v>0</v>
      </c>
      <c r="AL144" s="6"/>
      <c r="AM144" s="7">
        <f>ROUND(SUM(AM142:AM143),5)</f>
        <v>0</v>
      </c>
      <c r="AN144" s="6"/>
      <c r="AO144" s="7">
        <f>ROUND(SUM(AO142:AO143),5)</f>
        <v>0</v>
      </c>
      <c r="AP144" s="6"/>
      <c r="AQ144" s="7">
        <f>ROUND(SUM(AQ142:AQ143),5)</f>
        <v>0</v>
      </c>
      <c r="AR144" s="6"/>
      <c r="AS144" s="7">
        <f>ROUND(SUM(AS142:AS143),5)</f>
        <v>0</v>
      </c>
      <c r="AT144" s="6"/>
      <c r="AU144" s="7">
        <f>ROUND(SUM(AU142:AU143),5)</f>
        <v>0</v>
      </c>
      <c r="AV144" s="6"/>
      <c r="AW144" s="7">
        <f>ROUND(SUM(AW142:AW143),5)</f>
        <v>0</v>
      </c>
      <c r="AX144" s="6"/>
      <c r="AY144" s="7">
        <f>ROUND(SUM(AY142:AY143),5)</f>
        <v>0</v>
      </c>
      <c r="AZ144" s="6"/>
      <c r="BA144" s="7">
        <f>ROUND(SUM(BA142:BA143),5)</f>
        <v>0</v>
      </c>
      <c r="BB144" s="6"/>
      <c r="BC144" s="7">
        <f>ROUND(SUM(BC142:BC143),5)</f>
        <v>0</v>
      </c>
      <c r="BD144" s="6"/>
      <c r="BE144" s="7">
        <f>ROUND(SUM(BE142:BE143),5)</f>
        <v>0</v>
      </c>
      <c r="BF144" s="6"/>
      <c r="BG144" s="7">
        <f>ROUND(SUM(BG142:BG143),5)</f>
        <v>0</v>
      </c>
      <c r="BH144" s="6"/>
      <c r="BI144" s="7">
        <f>ROUND(SUM(BI142:BI143),5)</f>
        <v>0</v>
      </c>
      <c r="BJ144" s="6"/>
      <c r="BK144" s="7">
        <f>ROUND(SUM(BK142:BK143),5)</f>
        <v>0</v>
      </c>
      <c r="BL144" s="6"/>
      <c r="BM144" s="7">
        <f>ROUND(SUM(BM142:BM143),5)</f>
        <v>0</v>
      </c>
      <c r="BN144" s="6"/>
      <c r="BO144" s="7">
        <f>ROUND(SUM(BO142:BO143),5)</f>
        <v>0</v>
      </c>
      <c r="BP144" s="6"/>
      <c r="BQ144" s="7">
        <f>ROUND(SUM(G144:BO144),5)</f>
        <v>44673.22</v>
      </c>
    </row>
    <row r="145" spans="1:69">
      <c r="A145" s="4"/>
      <c r="B145" s="4"/>
      <c r="C145" s="4"/>
      <c r="D145" s="4"/>
      <c r="E145" s="4" t="s">
        <v>226</v>
      </c>
      <c r="F145" s="4"/>
      <c r="G145" s="7"/>
      <c r="H145" s="6"/>
      <c r="I145" s="7"/>
      <c r="J145" s="6"/>
      <c r="K145" s="7"/>
      <c r="L145" s="6"/>
      <c r="M145" s="7"/>
      <c r="N145" s="6"/>
      <c r="O145" s="7"/>
      <c r="P145" s="6"/>
      <c r="Q145" s="7"/>
      <c r="R145" s="6"/>
      <c r="S145" s="7"/>
      <c r="T145" s="6"/>
      <c r="U145" s="7"/>
      <c r="V145" s="6"/>
      <c r="W145" s="7"/>
      <c r="X145" s="6"/>
      <c r="Y145" s="7"/>
      <c r="Z145" s="6"/>
      <c r="AA145" s="7"/>
      <c r="AB145" s="6"/>
      <c r="AC145" s="7"/>
      <c r="AD145" s="6"/>
      <c r="AE145" s="7"/>
      <c r="AF145" s="6"/>
      <c r="AG145" s="7"/>
      <c r="AH145" s="6"/>
      <c r="AI145" s="7"/>
      <c r="AJ145" s="6"/>
      <c r="AK145" s="7"/>
      <c r="AL145" s="6"/>
      <c r="AM145" s="7"/>
      <c r="AN145" s="6"/>
      <c r="AO145" s="7"/>
      <c r="AP145" s="6"/>
      <c r="AQ145" s="7"/>
      <c r="AR145" s="6"/>
      <c r="AS145" s="7"/>
      <c r="AT145" s="6"/>
      <c r="AU145" s="7"/>
      <c r="AV145" s="6"/>
      <c r="AW145" s="7"/>
      <c r="AX145" s="6"/>
      <c r="AY145" s="7"/>
      <c r="AZ145" s="6"/>
      <c r="BA145" s="7"/>
      <c r="BB145" s="6"/>
      <c r="BC145" s="7"/>
      <c r="BD145" s="6"/>
      <c r="BE145" s="7"/>
      <c r="BF145" s="6"/>
      <c r="BG145" s="7"/>
      <c r="BH145" s="6"/>
      <c r="BI145" s="7"/>
      <c r="BJ145" s="6"/>
      <c r="BK145" s="7"/>
      <c r="BL145" s="6"/>
      <c r="BM145" s="7"/>
      <c r="BN145" s="6"/>
      <c r="BO145" s="7"/>
      <c r="BP145" s="6"/>
      <c r="BQ145" s="7"/>
    </row>
    <row r="146" spans="1:69">
      <c r="A146" s="4"/>
      <c r="B146" s="4"/>
      <c r="C146" s="4"/>
      <c r="D146" s="4"/>
      <c r="E146" s="4"/>
      <c r="F146" s="4" t="s">
        <v>227</v>
      </c>
      <c r="G146" s="7">
        <v>0</v>
      </c>
      <c r="H146" s="6"/>
      <c r="I146" s="7">
        <v>0</v>
      </c>
      <c r="J146" s="6"/>
      <c r="K146" s="7">
        <v>0</v>
      </c>
      <c r="L146" s="6"/>
      <c r="M146" s="7">
        <v>0</v>
      </c>
      <c r="N146" s="6"/>
      <c r="O146" s="7">
        <v>0</v>
      </c>
      <c r="P146" s="6"/>
      <c r="Q146" s="7">
        <v>0</v>
      </c>
      <c r="R146" s="6"/>
      <c r="S146" s="7">
        <v>0</v>
      </c>
      <c r="T146" s="6"/>
      <c r="U146" s="7">
        <v>0</v>
      </c>
      <c r="V146" s="6"/>
      <c r="W146" s="7">
        <v>0</v>
      </c>
      <c r="X146" s="6"/>
      <c r="Y146" s="7">
        <v>0</v>
      </c>
      <c r="Z146" s="6"/>
      <c r="AA146" s="7">
        <v>0</v>
      </c>
      <c r="AB146" s="6"/>
      <c r="AC146" s="7">
        <v>0</v>
      </c>
      <c r="AD146" s="6"/>
      <c r="AE146" s="7">
        <v>0</v>
      </c>
      <c r="AF146" s="6"/>
      <c r="AG146" s="7">
        <v>61139.96</v>
      </c>
      <c r="AH146" s="6"/>
      <c r="AI146" s="7">
        <v>0</v>
      </c>
      <c r="AJ146" s="6"/>
      <c r="AK146" s="7">
        <v>0</v>
      </c>
      <c r="AL146" s="6"/>
      <c r="AM146" s="7">
        <v>0</v>
      </c>
      <c r="AN146" s="6"/>
      <c r="AO146" s="7">
        <v>0</v>
      </c>
      <c r="AP146" s="6"/>
      <c r="AQ146" s="7">
        <v>0</v>
      </c>
      <c r="AR146" s="6"/>
      <c r="AS146" s="7">
        <v>0</v>
      </c>
      <c r="AT146" s="6"/>
      <c r="AU146" s="7">
        <v>0</v>
      </c>
      <c r="AV146" s="6"/>
      <c r="AW146" s="7">
        <v>0</v>
      </c>
      <c r="AX146" s="6"/>
      <c r="AY146" s="7">
        <v>0</v>
      </c>
      <c r="AZ146" s="6"/>
      <c r="BA146" s="7">
        <v>0</v>
      </c>
      <c r="BB146" s="6"/>
      <c r="BC146" s="7">
        <v>0</v>
      </c>
      <c r="BD146" s="6"/>
      <c r="BE146" s="7">
        <v>0</v>
      </c>
      <c r="BF146" s="6"/>
      <c r="BG146" s="7">
        <v>0</v>
      </c>
      <c r="BH146" s="6"/>
      <c r="BI146" s="7">
        <v>0</v>
      </c>
      <c r="BJ146" s="6"/>
      <c r="BK146" s="7">
        <v>0</v>
      </c>
      <c r="BL146" s="6"/>
      <c r="BM146" s="7">
        <v>5597.5</v>
      </c>
      <c r="BN146" s="6"/>
      <c r="BO146" s="7">
        <v>50024.61</v>
      </c>
      <c r="BP146" s="6"/>
      <c r="BQ146" s="7">
        <f>ROUND(SUM(G146:BO146),5)</f>
        <v>116762.07</v>
      </c>
    </row>
    <row r="147" spans="1:69" ht="15.75" thickBot="1">
      <c r="A147" s="4"/>
      <c r="B147" s="4"/>
      <c r="C147" s="4"/>
      <c r="D147" s="4"/>
      <c r="E147" s="4"/>
      <c r="F147" s="4" t="s">
        <v>228</v>
      </c>
      <c r="G147" s="9">
        <v>0</v>
      </c>
      <c r="H147" s="6"/>
      <c r="I147" s="9">
        <v>0</v>
      </c>
      <c r="J147" s="6"/>
      <c r="K147" s="9">
        <v>0</v>
      </c>
      <c r="L147" s="6"/>
      <c r="M147" s="9">
        <v>0</v>
      </c>
      <c r="N147" s="6"/>
      <c r="O147" s="9">
        <v>0</v>
      </c>
      <c r="P147" s="6"/>
      <c r="Q147" s="9">
        <v>0</v>
      </c>
      <c r="R147" s="6"/>
      <c r="S147" s="9">
        <v>0</v>
      </c>
      <c r="T147" s="6"/>
      <c r="U147" s="9">
        <v>0</v>
      </c>
      <c r="V147" s="6"/>
      <c r="W147" s="9">
        <v>0</v>
      </c>
      <c r="X147" s="6"/>
      <c r="Y147" s="9">
        <v>0</v>
      </c>
      <c r="Z147" s="6"/>
      <c r="AA147" s="9">
        <v>0</v>
      </c>
      <c r="AB147" s="6"/>
      <c r="AC147" s="9">
        <v>0</v>
      </c>
      <c r="AD147" s="6"/>
      <c r="AE147" s="9">
        <v>0</v>
      </c>
      <c r="AF147" s="6"/>
      <c r="AG147" s="9">
        <v>700</v>
      </c>
      <c r="AH147" s="6"/>
      <c r="AI147" s="9">
        <v>0</v>
      </c>
      <c r="AJ147" s="6"/>
      <c r="AK147" s="9">
        <v>0</v>
      </c>
      <c r="AL147" s="6"/>
      <c r="AM147" s="9">
        <v>0</v>
      </c>
      <c r="AN147" s="6"/>
      <c r="AO147" s="9">
        <v>0</v>
      </c>
      <c r="AP147" s="6"/>
      <c r="AQ147" s="9">
        <v>0</v>
      </c>
      <c r="AR147" s="6"/>
      <c r="AS147" s="9">
        <v>0</v>
      </c>
      <c r="AT147" s="6"/>
      <c r="AU147" s="9">
        <v>0</v>
      </c>
      <c r="AV147" s="6"/>
      <c r="AW147" s="9">
        <v>0</v>
      </c>
      <c r="AX147" s="6"/>
      <c r="AY147" s="9">
        <v>0</v>
      </c>
      <c r="AZ147" s="6"/>
      <c r="BA147" s="9">
        <v>0</v>
      </c>
      <c r="BB147" s="6"/>
      <c r="BC147" s="9">
        <v>0</v>
      </c>
      <c r="BD147" s="6"/>
      <c r="BE147" s="9">
        <v>0</v>
      </c>
      <c r="BF147" s="6"/>
      <c r="BG147" s="9">
        <v>0</v>
      </c>
      <c r="BH147" s="6"/>
      <c r="BI147" s="9">
        <v>0</v>
      </c>
      <c r="BJ147" s="6"/>
      <c r="BK147" s="9">
        <v>0</v>
      </c>
      <c r="BL147" s="6"/>
      <c r="BM147" s="9">
        <v>0</v>
      </c>
      <c r="BN147" s="6"/>
      <c r="BO147" s="9">
        <v>0</v>
      </c>
      <c r="BP147" s="6"/>
      <c r="BQ147" s="9">
        <f>ROUND(SUM(G147:BO147),5)</f>
        <v>700</v>
      </c>
    </row>
    <row r="148" spans="1:69">
      <c r="A148" s="4"/>
      <c r="B148" s="4"/>
      <c r="C148" s="4"/>
      <c r="D148" s="4"/>
      <c r="E148" s="4" t="s">
        <v>229</v>
      </c>
      <c r="F148" s="4"/>
      <c r="G148" s="7">
        <f>ROUND(SUM(G145:G147),5)</f>
        <v>0</v>
      </c>
      <c r="H148" s="6"/>
      <c r="I148" s="7">
        <f>ROUND(SUM(I145:I147),5)</f>
        <v>0</v>
      </c>
      <c r="J148" s="6"/>
      <c r="K148" s="7">
        <f>ROUND(SUM(K145:K147),5)</f>
        <v>0</v>
      </c>
      <c r="L148" s="6"/>
      <c r="M148" s="7">
        <f>ROUND(SUM(M145:M147),5)</f>
        <v>0</v>
      </c>
      <c r="N148" s="6"/>
      <c r="O148" s="7">
        <f>ROUND(SUM(O145:O147),5)</f>
        <v>0</v>
      </c>
      <c r="P148" s="6"/>
      <c r="Q148" s="7">
        <f>ROUND(SUM(Q145:Q147),5)</f>
        <v>0</v>
      </c>
      <c r="R148" s="6"/>
      <c r="S148" s="7">
        <f>ROUND(SUM(S145:S147),5)</f>
        <v>0</v>
      </c>
      <c r="T148" s="6"/>
      <c r="U148" s="7">
        <f>ROUND(SUM(U145:U147),5)</f>
        <v>0</v>
      </c>
      <c r="V148" s="6"/>
      <c r="W148" s="7">
        <f>ROUND(SUM(W145:W147),5)</f>
        <v>0</v>
      </c>
      <c r="X148" s="6"/>
      <c r="Y148" s="7">
        <f>ROUND(SUM(Y145:Y147),5)</f>
        <v>0</v>
      </c>
      <c r="Z148" s="6"/>
      <c r="AA148" s="7">
        <f>ROUND(SUM(AA145:AA147),5)</f>
        <v>0</v>
      </c>
      <c r="AB148" s="6"/>
      <c r="AC148" s="7">
        <f>ROUND(SUM(AC145:AC147),5)</f>
        <v>0</v>
      </c>
      <c r="AD148" s="6"/>
      <c r="AE148" s="7">
        <f>ROUND(SUM(AE145:AE147),5)</f>
        <v>0</v>
      </c>
      <c r="AF148" s="6"/>
      <c r="AG148" s="7">
        <f>ROUND(SUM(AG145:AG147),5)</f>
        <v>61839.96</v>
      </c>
      <c r="AH148" s="6"/>
      <c r="AI148" s="7">
        <f>ROUND(SUM(AI145:AI147),5)</f>
        <v>0</v>
      </c>
      <c r="AJ148" s="6"/>
      <c r="AK148" s="7">
        <f>ROUND(SUM(AK145:AK147),5)</f>
        <v>0</v>
      </c>
      <c r="AL148" s="6"/>
      <c r="AM148" s="7">
        <f>ROUND(SUM(AM145:AM147),5)</f>
        <v>0</v>
      </c>
      <c r="AN148" s="6"/>
      <c r="AO148" s="7">
        <f>ROUND(SUM(AO145:AO147),5)</f>
        <v>0</v>
      </c>
      <c r="AP148" s="6"/>
      <c r="AQ148" s="7">
        <f>ROUND(SUM(AQ145:AQ147),5)</f>
        <v>0</v>
      </c>
      <c r="AR148" s="6"/>
      <c r="AS148" s="7">
        <f>ROUND(SUM(AS145:AS147),5)</f>
        <v>0</v>
      </c>
      <c r="AT148" s="6"/>
      <c r="AU148" s="7">
        <f>ROUND(SUM(AU145:AU147),5)</f>
        <v>0</v>
      </c>
      <c r="AV148" s="6"/>
      <c r="AW148" s="7">
        <f>ROUND(SUM(AW145:AW147),5)</f>
        <v>0</v>
      </c>
      <c r="AX148" s="6"/>
      <c r="AY148" s="7">
        <f>ROUND(SUM(AY145:AY147),5)</f>
        <v>0</v>
      </c>
      <c r="AZ148" s="6"/>
      <c r="BA148" s="7">
        <f>ROUND(SUM(BA145:BA147),5)</f>
        <v>0</v>
      </c>
      <c r="BB148" s="6"/>
      <c r="BC148" s="7">
        <f>ROUND(SUM(BC145:BC147),5)</f>
        <v>0</v>
      </c>
      <c r="BD148" s="6"/>
      <c r="BE148" s="7">
        <f>ROUND(SUM(BE145:BE147),5)</f>
        <v>0</v>
      </c>
      <c r="BF148" s="6"/>
      <c r="BG148" s="7">
        <f>ROUND(SUM(BG145:BG147),5)</f>
        <v>0</v>
      </c>
      <c r="BH148" s="6"/>
      <c r="BI148" s="7">
        <f>ROUND(SUM(BI145:BI147),5)</f>
        <v>0</v>
      </c>
      <c r="BJ148" s="6"/>
      <c r="BK148" s="7">
        <f>ROUND(SUM(BK145:BK147),5)</f>
        <v>0</v>
      </c>
      <c r="BL148" s="6"/>
      <c r="BM148" s="7">
        <f>ROUND(SUM(BM145:BM147),5)</f>
        <v>5597.5</v>
      </c>
      <c r="BN148" s="6"/>
      <c r="BO148" s="7">
        <f>ROUND(SUM(BO145:BO147),5)</f>
        <v>50024.61</v>
      </c>
      <c r="BP148" s="6"/>
      <c r="BQ148" s="7">
        <f>ROUND(SUM(G148:BO148),5)</f>
        <v>117462.07</v>
      </c>
    </row>
    <row r="149" spans="1:69">
      <c r="A149" s="4"/>
      <c r="B149" s="4"/>
      <c r="C149" s="4"/>
      <c r="D149" s="4"/>
      <c r="E149" s="4" t="s">
        <v>230</v>
      </c>
      <c r="F149" s="4"/>
      <c r="G149" s="7"/>
      <c r="H149" s="6"/>
      <c r="I149" s="7"/>
      <c r="J149" s="6"/>
      <c r="K149" s="7"/>
      <c r="L149" s="6"/>
      <c r="M149" s="7"/>
      <c r="N149" s="6"/>
      <c r="O149" s="7"/>
      <c r="P149" s="6"/>
      <c r="Q149" s="7"/>
      <c r="R149" s="6"/>
      <c r="S149" s="7"/>
      <c r="T149" s="6"/>
      <c r="U149" s="7"/>
      <c r="V149" s="6"/>
      <c r="W149" s="7"/>
      <c r="X149" s="6"/>
      <c r="Y149" s="7"/>
      <c r="Z149" s="6"/>
      <c r="AA149" s="7"/>
      <c r="AB149" s="6"/>
      <c r="AC149" s="7"/>
      <c r="AD149" s="6"/>
      <c r="AE149" s="7"/>
      <c r="AF149" s="6"/>
      <c r="AG149" s="7"/>
      <c r="AH149" s="6"/>
      <c r="AI149" s="7"/>
      <c r="AJ149" s="6"/>
      <c r="AK149" s="7"/>
      <c r="AL149" s="6"/>
      <c r="AM149" s="7"/>
      <c r="AN149" s="6"/>
      <c r="AO149" s="7"/>
      <c r="AP149" s="6"/>
      <c r="AQ149" s="7"/>
      <c r="AR149" s="6"/>
      <c r="AS149" s="7"/>
      <c r="AT149" s="6"/>
      <c r="AU149" s="7"/>
      <c r="AV149" s="6"/>
      <c r="AW149" s="7"/>
      <c r="AX149" s="6"/>
      <c r="AY149" s="7"/>
      <c r="AZ149" s="6"/>
      <c r="BA149" s="7"/>
      <c r="BB149" s="6"/>
      <c r="BC149" s="7"/>
      <c r="BD149" s="6"/>
      <c r="BE149" s="7"/>
      <c r="BF149" s="6"/>
      <c r="BG149" s="7"/>
      <c r="BH149" s="6"/>
      <c r="BI149" s="7"/>
      <c r="BJ149" s="6"/>
      <c r="BK149" s="7"/>
      <c r="BL149" s="6"/>
      <c r="BM149" s="7"/>
      <c r="BN149" s="6"/>
      <c r="BO149" s="7"/>
      <c r="BP149" s="6"/>
      <c r="BQ149" s="7"/>
    </row>
    <row r="150" spans="1:69" ht="15.75" thickBot="1">
      <c r="A150" s="4"/>
      <c r="B150" s="4"/>
      <c r="C150" s="4"/>
      <c r="D150" s="4"/>
      <c r="E150" s="4"/>
      <c r="F150" s="4" t="s">
        <v>231</v>
      </c>
      <c r="G150" s="9">
        <v>-75</v>
      </c>
      <c r="H150" s="6"/>
      <c r="I150" s="9">
        <v>0</v>
      </c>
      <c r="J150" s="6"/>
      <c r="K150" s="9">
        <v>0</v>
      </c>
      <c r="L150" s="6"/>
      <c r="M150" s="9">
        <v>0</v>
      </c>
      <c r="N150" s="6"/>
      <c r="O150" s="9">
        <v>0</v>
      </c>
      <c r="P150" s="6"/>
      <c r="Q150" s="9">
        <v>0</v>
      </c>
      <c r="R150" s="6"/>
      <c r="S150" s="9">
        <v>0</v>
      </c>
      <c r="T150" s="6"/>
      <c r="U150" s="9">
        <v>0</v>
      </c>
      <c r="V150" s="6"/>
      <c r="W150" s="9">
        <v>0</v>
      </c>
      <c r="X150" s="6"/>
      <c r="Y150" s="9">
        <v>0</v>
      </c>
      <c r="Z150" s="6"/>
      <c r="AA150" s="9">
        <v>0</v>
      </c>
      <c r="AB150" s="6"/>
      <c r="AC150" s="9">
        <v>0</v>
      </c>
      <c r="AD150" s="6"/>
      <c r="AE150" s="9">
        <v>0</v>
      </c>
      <c r="AF150" s="6"/>
      <c r="AG150" s="9">
        <v>75</v>
      </c>
      <c r="AH150" s="6"/>
      <c r="AI150" s="9">
        <v>0</v>
      </c>
      <c r="AJ150" s="6"/>
      <c r="AK150" s="9">
        <v>0</v>
      </c>
      <c r="AL150" s="6"/>
      <c r="AM150" s="9">
        <v>0</v>
      </c>
      <c r="AN150" s="6"/>
      <c r="AO150" s="9">
        <v>0</v>
      </c>
      <c r="AP150" s="6"/>
      <c r="AQ150" s="9">
        <v>0</v>
      </c>
      <c r="AR150" s="6"/>
      <c r="AS150" s="9">
        <v>0</v>
      </c>
      <c r="AT150" s="6"/>
      <c r="AU150" s="9">
        <v>0</v>
      </c>
      <c r="AV150" s="6"/>
      <c r="AW150" s="9">
        <v>0</v>
      </c>
      <c r="AX150" s="6"/>
      <c r="AY150" s="9">
        <v>0</v>
      </c>
      <c r="AZ150" s="6"/>
      <c r="BA150" s="9">
        <v>0</v>
      </c>
      <c r="BB150" s="6"/>
      <c r="BC150" s="9">
        <v>0</v>
      </c>
      <c r="BD150" s="6"/>
      <c r="BE150" s="9">
        <v>0</v>
      </c>
      <c r="BF150" s="6"/>
      <c r="BG150" s="9">
        <v>0</v>
      </c>
      <c r="BH150" s="6"/>
      <c r="BI150" s="9">
        <v>0</v>
      </c>
      <c r="BJ150" s="6"/>
      <c r="BK150" s="9">
        <v>0</v>
      </c>
      <c r="BL150" s="6"/>
      <c r="BM150" s="9">
        <v>0</v>
      </c>
      <c r="BN150" s="6"/>
      <c r="BO150" s="9">
        <v>0</v>
      </c>
      <c r="BP150" s="6"/>
      <c r="BQ150" s="9">
        <f>ROUND(SUM(G150:BO150),5)</f>
        <v>0</v>
      </c>
    </row>
    <row r="151" spans="1:69">
      <c r="A151" s="4"/>
      <c r="B151" s="4"/>
      <c r="C151" s="4"/>
      <c r="D151" s="4"/>
      <c r="E151" s="4" t="s">
        <v>232</v>
      </c>
      <c r="F151" s="4"/>
      <c r="G151" s="7">
        <f>ROUND(SUM(G149:G150),5)</f>
        <v>-75</v>
      </c>
      <c r="H151" s="6"/>
      <c r="I151" s="7">
        <f>ROUND(SUM(I149:I150),5)</f>
        <v>0</v>
      </c>
      <c r="J151" s="6"/>
      <c r="K151" s="7">
        <f>ROUND(SUM(K149:K150),5)</f>
        <v>0</v>
      </c>
      <c r="L151" s="6"/>
      <c r="M151" s="7">
        <f>ROUND(SUM(M149:M150),5)</f>
        <v>0</v>
      </c>
      <c r="N151" s="6"/>
      <c r="O151" s="7">
        <f>ROUND(SUM(O149:O150),5)</f>
        <v>0</v>
      </c>
      <c r="P151" s="6"/>
      <c r="Q151" s="7">
        <f>ROUND(SUM(Q149:Q150),5)</f>
        <v>0</v>
      </c>
      <c r="R151" s="6"/>
      <c r="S151" s="7">
        <f>ROUND(SUM(S149:S150),5)</f>
        <v>0</v>
      </c>
      <c r="T151" s="6"/>
      <c r="U151" s="7">
        <f>ROUND(SUM(U149:U150),5)</f>
        <v>0</v>
      </c>
      <c r="V151" s="6"/>
      <c r="W151" s="7">
        <f>ROUND(SUM(W149:W150),5)</f>
        <v>0</v>
      </c>
      <c r="X151" s="6"/>
      <c r="Y151" s="7">
        <f>ROUND(SUM(Y149:Y150),5)</f>
        <v>0</v>
      </c>
      <c r="Z151" s="6"/>
      <c r="AA151" s="7">
        <f>ROUND(SUM(AA149:AA150),5)</f>
        <v>0</v>
      </c>
      <c r="AB151" s="6"/>
      <c r="AC151" s="7">
        <f>ROUND(SUM(AC149:AC150),5)</f>
        <v>0</v>
      </c>
      <c r="AD151" s="6"/>
      <c r="AE151" s="7">
        <f>ROUND(SUM(AE149:AE150),5)</f>
        <v>0</v>
      </c>
      <c r="AF151" s="6"/>
      <c r="AG151" s="7">
        <f>ROUND(SUM(AG149:AG150),5)</f>
        <v>75</v>
      </c>
      <c r="AH151" s="6"/>
      <c r="AI151" s="7">
        <f>ROUND(SUM(AI149:AI150),5)</f>
        <v>0</v>
      </c>
      <c r="AJ151" s="6"/>
      <c r="AK151" s="7">
        <f>ROUND(SUM(AK149:AK150),5)</f>
        <v>0</v>
      </c>
      <c r="AL151" s="6"/>
      <c r="AM151" s="7">
        <f>ROUND(SUM(AM149:AM150),5)</f>
        <v>0</v>
      </c>
      <c r="AN151" s="6"/>
      <c r="AO151" s="7">
        <f>ROUND(SUM(AO149:AO150),5)</f>
        <v>0</v>
      </c>
      <c r="AP151" s="6"/>
      <c r="AQ151" s="7">
        <f>ROUND(SUM(AQ149:AQ150),5)</f>
        <v>0</v>
      </c>
      <c r="AR151" s="6"/>
      <c r="AS151" s="7">
        <f>ROUND(SUM(AS149:AS150),5)</f>
        <v>0</v>
      </c>
      <c r="AT151" s="6"/>
      <c r="AU151" s="7">
        <f>ROUND(SUM(AU149:AU150),5)</f>
        <v>0</v>
      </c>
      <c r="AV151" s="6"/>
      <c r="AW151" s="7">
        <f>ROUND(SUM(AW149:AW150),5)</f>
        <v>0</v>
      </c>
      <c r="AX151" s="6"/>
      <c r="AY151" s="7">
        <f>ROUND(SUM(AY149:AY150),5)</f>
        <v>0</v>
      </c>
      <c r="AZ151" s="6"/>
      <c r="BA151" s="7">
        <f>ROUND(SUM(BA149:BA150),5)</f>
        <v>0</v>
      </c>
      <c r="BB151" s="6"/>
      <c r="BC151" s="7">
        <f>ROUND(SUM(BC149:BC150),5)</f>
        <v>0</v>
      </c>
      <c r="BD151" s="6"/>
      <c r="BE151" s="7">
        <f>ROUND(SUM(BE149:BE150),5)</f>
        <v>0</v>
      </c>
      <c r="BF151" s="6"/>
      <c r="BG151" s="7">
        <f>ROUND(SUM(BG149:BG150),5)</f>
        <v>0</v>
      </c>
      <c r="BH151" s="6"/>
      <c r="BI151" s="7">
        <f>ROUND(SUM(BI149:BI150),5)</f>
        <v>0</v>
      </c>
      <c r="BJ151" s="6"/>
      <c r="BK151" s="7">
        <f>ROUND(SUM(BK149:BK150),5)</f>
        <v>0</v>
      </c>
      <c r="BL151" s="6"/>
      <c r="BM151" s="7">
        <f>ROUND(SUM(BM149:BM150),5)</f>
        <v>0</v>
      </c>
      <c r="BN151" s="6"/>
      <c r="BO151" s="7">
        <f>ROUND(SUM(BO149:BO150),5)</f>
        <v>0</v>
      </c>
      <c r="BP151" s="6"/>
      <c r="BQ151" s="7">
        <f>ROUND(SUM(G151:BO151),5)</f>
        <v>0</v>
      </c>
    </row>
    <row r="152" spans="1:69">
      <c r="A152" s="4"/>
      <c r="B152" s="4"/>
      <c r="C152" s="4"/>
      <c r="D152" s="4"/>
      <c r="E152" s="4" t="s">
        <v>233</v>
      </c>
      <c r="F152" s="4"/>
      <c r="G152" s="7"/>
      <c r="H152" s="6"/>
      <c r="I152" s="7"/>
      <c r="J152" s="6"/>
      <c r="K152" s="7"/>
      <c r="L152" s="6"/>
      <c r="M152" s="7"/>
      <c r="N152" s="6"/>
      <c r="O152" s="7"/>
      <c r="P152" s="6"/>
      <c r="Q152" s="7"/>
      <c r="R152" s="6"/>
      <c r="S152" s="7"/>
      <c r="T152" s="6"/>
      <c r="U152" s="7"/>
      <c r="V152" s="6"/>
      <c r="W152" s="7"/>
      <c r="X152" s="6"/>
      <c r="Y152" s="7"/>
      <c r="Z152" s="6"/>
      <c r="AA152" s="7"/>
      <c r="AB152" s="6"/>
      <c r="AC152" s="7"/>
      <c r="AD152" s="6"/>
      <c r="AE152" s="7"/>
      <c r="AF152" s="6"/>
      <c r="AG152" s="7"/>
      <c r="AH152" s="6"/>
      <c r="AI152" s="7"/>
      <c r="AJ152" s="6"/>
      <c r="AK152" s="7"/>
      <c r="AL152" s="6"/>
      <c r="AM152" s="7"/>
      <c r="AN152" s="6"/>
      <c r="AO152" s="7"/>
      <c r="AP152" s="6"/>
      <c r="AQ152" s="7"/>
      <c r="AR152" s="6"/>
      <c r="AS152" s="7"/>
      <c r="AT152" s="6"/>
      <c r="AU152" s="7"/>
      <c r="AV152" s="6"/>
      <c r="AW152" s="7"/>
      <c r="AX152" s="6"/>
      <c r="AY152" s="7"/>
      <c r="AZ152" s="6"/>
      <c r="BA152" s="7"/>
      <c r="BB152" s="6"/>
      <c r="BC152" s="7"/>
      <c r="BD152" s="6"/>
      <c r="BE152" s="7"/>
      <c r="BF152" s="6"/>
      <c r="BG152" s="7"/>
      <c r="BH152" s="6"/>
      <c r="BI152" s="7"/>
      <c r="BJ152" s="6"/>
      <c r="BK152" s="7"/>
      <c r="BL152" s="6"/>
      <c r="BM152" s="7"/>
      <c r="BN152" s="6"/>
      <c r="BO152" s="7"/>
      <c r="BP152" s="6"/>
      <c r="BQ152" s="7"/>
    </row>
    <row r="153" spans="1:69" ht="15.75" thickBot="1">
      <c r="A153" s="4"/>
      <c r="B153" s="4"/>
      <c r="C153" s="4"/>
      <c r="D153" s="4"/>
      <c r="E153" s="4"/>
      <c r="F153" s="4" t="s">
        <v>234</v>
      </c>
      <c r="G153" s="9">
        <v>0</v>
      </c>
      <c r="H153" s="6"/>
      <c r="I153" s="9">
        <v>0</v>
      </c>
      <c r="J153" s="6"/>
      <c r="K153" s="9">
        <v>0</v>
      </c>
      <c r="L153" s="6"/>
      <c r="M153" s="9">
        <v>0</v>
      </c>
      <c r="N153" s="6"/>
      <c r="O153" s="9">
        <v>0</v>
      </c>
      <c r="P153" s="6"/>
      <c r="Q153" s="9">
        <v>0</v>
      </c>
      <c r="R153" s="6"/>
      <c r="S153" s="9">
        <v>0</v>
      </c>
      <c r="T153" s="6"/>
      <c r="U153" s="9">
        <v>0</v>
      </c>
      <c r="V153" s="6"/>
      <c r="W153" s="9">
        <v>0</v>
      </c>
      <c r="X153" s="6"/>
      <c r="Y153" s="9">
        <v>0</v>
      </c>
      <c r="Z153" s="6"/>
      <c r="AA153" s="9">
        <v>0</v>
      </c>
      <c r="AB153" s="6"/>
      <c r="AC153" s="9">
        <v>0</v>
      </c>
      <c r="AD153" s="6"/>
      <c r="AE153" s="9">
        <v>0</v>
      </c>
      <c r="AF153" s="6"/>
      <c r="AG153" s="9">
        <v>761.79</v>
      </c>
      <c r="AH153" s="6"/>
      <c r="AI153" s="9">
        <v>0</v>
      </c>
      <c r="AJ153" s="6"/>
      <c r="AK153" s="9">
        <v>0</v>
      </c>
      <c r="AL153" s="6"/>
      <c r="AM153" s="9">
        <v>0</v>
      </c>
      <c r="AN153" s="6"/>
      <c r="AO153" s="9">
        <v>0</v>
      </c>
      <c r="AP153" s="6"/>
      <c r="AQ153" s="9">
        <v>0</v>
      </c>
      <c r="AR153" s="6"/>
      <c r="AS153" s="9">
        <v>0</v>
      </c>
      <c r="AT153" s="6"/>
      <c r="AU153" s="9">
        <v>0</v>
      </c>
      <c r="AV153" s="6"/>
      <c r="AW153" s="9">
        <v>0</v>
      </c>
      <c r="AX153" s="6"/>
      <c r="AY153" s="9">
        <v>0</v>
      </c>
      <c r="AZ153" s="6"/>
      <c r="BA153" s="9">
        <v>0</v>
      </c>
      <c r="BB153" s="6"/>
      <c r="BC153" s="9">
        <v>0</v>
      </c>
      <c r="BD153" s="6"/>
      <c r="BE153" s="9">
        <v>0</v>
      </c>
      <c r="BF153" s="6"/>
      <c r="BG153" s="9">
        <v>0</v>
      </c>
      <c r="BH153" s="6"/>
      <c r="BI153" s="9">
        <v>0</v>
      </c>
      <c r="BJ153" s="6"/>
      <c r="BK153" s="9">
        <v>0</v>
      </c>
      <c r="BL153" s="6"/>
      <c r="BM153" s="9">
        <v>0</v>
      </c>
      <c r="BN153" s="6"/>
      <c r="BO153" s="9">
        <v>0</v>
      </c>
      <c r="BP153" s="6"/>
      <c r="BQ153" s="9">
        <f>ROUND(SUM(G153:BO153),5)</f>
        <v>761.79</v>
      </c>
    </row>
    <row r="154" spans="1:69">
      <c r="A154" s="4"/>
      <c r="B154" s="4"/>
      <c r="C154" s="4"/>
      <c r="D154" s="4"/>
      <c r="E154" s="4" t="s">
        <v>235</v>
      </c>
      <c r="F154" s="4"/>
      <c r="G154" s="7">
        <f>ROUND(SUM(G152:G153),5)</f>
        <v>0</v>
      </c>
      <c r="H154" s="6"/>
      <c r="I154" s="7">
        <f>ROUND(SUM(I152:I153),5)</f>
        <v>0</v>
      </c>
      <c r="J154" s="6"/>
      <c r="K154" s="7">
        <f>ROUND(SUM(K152:K153),5)</f>
        <v>0</v>
      </c>
      <c r="L154" s="6"/>
      <c r="M154" s="7">
        <f>ROUND(SUM(M152:M153),5)</f>
        <v>0</v>
      </c>
      <c r="N154" s="6"/>
      <c r="O154" s="7">
        <f>ROUND(SUM(O152:O153),5)</f>
        <v>0</v>
      </c>
      <c r="P154" s="6"/>
      <c r="Q154" s="7">
        <f>ROUND(SUM(Q152:Q153),5)</f>
        <v>0</v>
      </c>
      <c r="R154" s="6"/>
      <c r="S154" s="7">
        <f>ROUND(SUM(S152:S153),5)</f>
        <v>0</v>
      </c>
      <c r="T154" s="6"/>
      <c r="U154" s="7">
        <f>ROUND(SUM(U152:U153),5)</f>
        <v>0</v>
      </c>
      <c r="V154" s="6"/>
      <c r="W154" s="7">
        <f>ROUND(SUM(W152:W153),5)</f>
        <v>0</v>
      </c>
      <c r="X154" s="6"/>
      <c r="Y154" s="7">
        <f>ROUND(SUM(Y152:Y153),5)</f>
        <v>0</v>
      </c>
      <c r="Z154" s="6"/>
      <c r="AA154" s="7">
        <f>ROUND(SUM(AA152:AA153),5)</f>
        <v>0</v>
      </c>
      <c r="AB154" s="6"/>
      <c r="AC154" s="7">
        <f>ROUND(SUM(AC152:AC153),5)</f>
        <v>0</v>
      </c>
      <c r="AD154" s="6"/>
      <c r="AE154" s="7">
        <f>ROUND(SUM(AE152:AE153),5)</f>
        <v>0</v>
      </c>
      <c r="AF154" s="6"/>
      <c r="AG154" s="7">
        <f>ROUND(SUM(AG152:AG153),5)</f>
        <v>761.79</v>
      </c>
      <c r="AH154" s="6"/>
      <c r="AI154" s="7">
        <f>ROUND(SUM(AI152:AI153),5)</f>
        <v>0</v>
      </c>
      <c r="AJ154" s="6"/>
      <c r="AK154" s="7">
        <f>ROUND(SUM(AK152:AK153),5)</f>
        <v>0</v>
      </c>
      <c r="AL154" s="6"/>
      <c r="AM154" s="7">
        <f>ROUND(SUM(AM152:AM153),5)</f>
        <v>0</v>
      </c>
      <c r="AN154" s="6"/>
      <c r="AO154" s="7">
        <f>ROUND(SUM(AO152:AO153),5)</f>
        <v>0</v>
      </c>
      <c r="AP154" s="6"/>
      <c r="AQ154" s="7">
        <f>ROUND(SUM(AQ152:AQ153),5)</f>
        <v>0</v>
      </c>
      <c r="AR154" s="6"/>
      <c r="AS154" s="7">
        <f>ROUND(SUM(AS152:AS153),5)</f>
        <v>0</v>
      </c>
      <c r="AT154" s="6"/>
      <c r="AU154" s="7">
        <f>ROUND(SUM(AU152:AU153),5)</f>
        <v>0</v>
      </c>
      <c r="AV154" s="6"/>
      <c r="AW154" s="7">
        <f>ROUND(SUM(AW152:AW153),5)</f>
        <v>0</v>
      </c>
      <c r="AX154" s="6"/>
      <c r="AY154" s="7">
        <f>ROUND(SUM(AY152:AY153),5)</f>
        <v>0</v>
      </c>
      <c r="AZ154" s="6"/>
      <c r="BA154" s="7">
        <f>ROUND(SUM(BA152:BA153),5)</f>
        <v>0</v>
      </c>
      <c r="BB154" s="6"/>
      <c r="BC154" s="7">
        <f>ROUND(SUM(BC152:BC153),5)</f>
        <v>0</v>
      </c>
      <c r="BD154" s="6"/>
      <c r="BE154" s="7">
        <f>ROUND(SUM(BE152:BE153),5)</f>
        <v>0</v>
      </c>
      <c r="BF154" s="6"/>
      <c r="BG154" s="7">
        <f>ROUND(SUM(BG152:BG153),5)</f>
        <v>0</v>
      </c>
      <c r="BH154" s="6"/>
      <c r="BI154" s="7">
        <f>ROUND(SUM(BI152:BI153),5)</f>
        <v>0</v>
      </c>
      <c r="BJ154" s="6"/>
      <c r="BK154" s="7">
        <f>ROUND(SUM(BK152:BK153),5)</f>
        <v>0</v>
      </c>
      <c r="BL154" s="6"/>
      <c r="BM154" s="7">
        <f>ROUND(SUM(BM152:BM153),5)</f>
        <v>0</v>
      </c>
      <c r="BN154" s="6"/>
      <c r="BO154" s="7">
        <f>ROUND(SUM(BO152:BO153),5)</f>
        <v>0</v>
      </c>
      <c r="BP154" s="6"/>
      <c r="BQ154" s="7">
        <f>ROUND(SUM(G154:BO154),5)</f>
        <v>761.79</v>
      </c>
    </row>
    <row r="155" spans="1:69">
      <c r="A155" s="4"/>
      <c r="B155" s="4"/>
      <c r="C155" s="4"/>
      <c r="D155" s="4"/>
      <c r="E155" s="4" t="s">
        <v>236</v>
      </c>
      <c r="F155" s="4"/>
      <c r="G155" s="7"/>
      <c r="H155" s="6"/>
      <c r="I155" s="7"/>
      <c r="J155" s="6"/>
      <c r="K155" s="7"/>
      <c r="L155" s="6"/>
      <c r="M155" s="7"/>
      <c r="N155" s="6"/>
      <c r="O155" s="7"/>
      <c r="P155" s="6"/>
      <c r="Q155" s="7"/>
      <c r="R155" s="6"/>
      <c r="S155" s="7"/>
      <c r="T155" s="6"/>
      <c r="U155" s="7"/>
      <c r="V155" s="6"/>
      <c r="W155" s="7"/>
      <c r="X155" s="6"/>
      <c r="Y155" s="7"/>
      <c r="Z155" s="6"/>
      <c r="AA155" s="7"/>
      <c r="AB155" s="6"/>
      <c r="AC155" s="7"/>
      <c r="AD155" s="6"/>
      <c r="AE155" s="7"/>
      <c r="AF155" s="6"/>
      <c r="AG155" s="7"/>
      <c r="AH155" s="6"/>
      <c r="AI155" s="7"/>
      <c r="AJ155" s="6"/>
      <c r="AK155" s="7"/>
      <c r="AL155" s="6"/>
      <c r="AM155" s="7"/>
      <c r="AN155" s="6"/>
      <c r="AO155" s="7"/>
      <c r="AP155" s="6"/>
      <c r="AQ155" s="7"/>
      <c r="AR155" s="6"/>
      <c r="AS155" s="7"/>
      <c r="AT155" s="6"/>
      <c r="AU155" s="7"/>
      <c r="AV155" s="6"/>
      <c r="AW155" s="7"/>
      <c r="AX155" s="6"/>
      <c r="AY155" s="7"/>
      <c r="AZ155" s="6"/>
      <c r="BA155" s="7"/>
      <c r="BB155" s="6"/>
      <c r="BC155" s="7"/>
      <c r="BD155" s="6"/>
      <c r="BE155" s="7"/>
      <c r="BF155" s="6"/>
      <c r="BG155" s="7"/>
      <c r="BH155" s="6"/>
      <c r="BI155" s="7"/>
      <c r="BJ155" s="6"/>
      <c r="BK155" s="7"/>
      <c r="BL155" s="6"/>
      <c r="BM155" s="7"/>
      <c r="BN155" s="6"/>
      <c r="BO155" s="7"/>
      <c r="BP155" s="6"/>
      <c r="BQ155" s="7"/>
    </row>
    <row r="156" spans="1:69">
      <c r="A156" s="4"/>
      <c r="B156" s="4"/>
      <c r="C156" s="4"/>
      <c r="D156" s="4"/>
      <c r="E156" s="4"/>
      <c r="F156" s="4" t="s">
        <v>237</v>
      </c>
      <c r="G156" s="7">
        <v>0</v>
      </c>
      <c r="H156" s="6"/>
      <c r="I156" s="7">
        <v>0</v>
      </c>
      <c r="J156" s="6"/>
      <c r="K156" s="7">
        <v>0</v>
      </c>
      <c r="L156" s="6"/>
      <c r="M156" s="7">
        <v>0</v>
      </c>
      <c r="N156" s="6"/>
      <c r="O156" s="7">
        <v>0</v>
      </c>
      <c r="P156" s="6"/>
      <c r="Q156" s="7">
        <v>0</v>
      </c>
      <c r="R156" s="6"/>
      <c r="S156" s="7">
        <v>0</v>
      </c>
      <c r="T156" s="6"/>
      <c r="U156" s="7">
        <v>0</v>
      </c>
      <c r="V156" s="6"/>
      <c r="W156" s="7">
        <v>0</v>
      </c>
      <c r="X156" s="6"/>
      <c r="Y156" s="7">
        <v>0</v>
      </c>
      <c r="Z156" s="6"/>
      <c r="AA156" s="7">
        <v>0</v>
      </c>
      <c r="AB156" s="6"/>
      <c r="AC156" s="7">
        <v>0</v>
      </c>
      <c r="AD156" s="6"/>
      <c r="AE156" s="7">
        <v>0</v>
      </c>
      <c r="AF156" s="6"/>
      <c r="AG156" s="7">
        <v>16025</v>
      </c>
      <c r="AH156" s="6"/>
      <c r="AI156" s="7">
        <v>0</v>
      </c>
      <c r="AJ156" s="6"/>
      <c r="AK156" s="7">
        <v>0</v>
      </c>
      <c r="AL156" s="6"/>
      <c r="AM156" s="7">
        <v>0</v>
      </c>
      <c r="AN156" s="6"/>
      <c r="AO156" s="7">
        <v>0</v>
      </c>
      <c r="AP156" s="6"/>
      <c r="AQ156" s="7">
        <v>0</v>
      </c>
      <c r="AR156" s="6"/>
      <c r="AS156" s="7">
        <v>0</v>
      </c>
      <c r="AT156" s="6"/>
      <c r="AU156" s="7">
        <v>0</v>
      </c>
      <c r="AV156" s="6"/>
      <c r="AW156" s="7">
        <v>0</v>
      </c>
      <c r="AX156" s="6"/>
      <c r="AY156" s="7">
        <v>0</v>
      </c>
      <c r="AZ156" s="6"/>
      <c r="BA156" s="7">
        <v>0</v>
      </c>
      <c r="BB156" s="6"/>
      <c r="BC156" s="7">
        <v>0</v>
      </c>
      <c r="BD156" s="6"/>
      <c r="BE156" s="7">
        <v>0</v>
      </c>
      <c r="BF156" s="6"/>
      <c r="BG156" s="7">
        <v>0</v>
      </c>
      <c r="BH156" s="6"/>
      <c r="BI156" s="7">
        <v>0</v>
      </c>
      <c r="BJ156" s="6"/>
      <c r="BK156" s="7">
        <v>0</v>
      </c>
      <c r="BL156" s="6"/>
      <c r="BM156" s="7">
        <v>0</v>
      </c>
      <c r="BN156" s="6"/>
      <c r="BO156" s="7">
        <v>0</v>
      </c>
      <c r="BP156" s="6"/>
      <c r="BQ156" s="7">
        <f>ROUND(SUM(G156:BO156),5)</f>
        <v>16025</v>
      </c>
    </row>
    <row r="157" spans="1:69">
      <c r="A157" s="4"/>
      <c r="B157" s="4"/>
      <c r="C157" s="4"/>
      <c r="D157" s="4"/>
      <c r="E157" s="4"/>
      <c r="F157" s="4" t="s">
        <v>238</v>
      </c>
      <c r="G157" s="7">
        <v>0</v>
      </c>
      <c r="H157" s="6"/>
      <c r="I157" s="7">
        <v>0</v>
      </c>
      <c r="J157" s="6"/>
      <c r="K157" s="7">
        <v>0</v>
      </c>
      <c r="L157" s="6"/>
      <c r="M157" s="7">
        <v>0</v>
      </c>
      <c r="N157" s="6"/>
      <c r="O157" s="7">
        <v>0</v>
      </c>
      <c r="P157" s="6"/>
      <c r="Q157" s="7">
        <v>0</v>
      </c>
      <c r="R157" s="6"/>
      <c r="S157" s="7">
        <v>0</v>
      </c>
      <c r="T157" s="6"/>
      <c r="U157" s="7">
        <v>0</v>
      </c>
      <c r="V157" s="6"/>
      <c r="W157" s="7">
        <v>0</v>
      </c>
      <c r="X157" s="6"/>
      <c r="Y157" s="7">
        <v>0</v>
      </c>
      <c r="Z157" s="6"/>
      <c r="AA157" s="7">
        <v>0</v>
      </c>
      <c r="AB157" s="6"/>
      <c r="AC157" s="7">
        <v>0</v>
      </c>
      <c r="AD157" s="6"/>
      <c r="AE157" s="7">
        <v>0</v>
      </c>
      <c r="AF157" s="6"/>
      <c r="AG157" s="7">
        <v>178.1</v>
      </c>
      <c r="AH157" s="6"/>
      <c r="AI157" s="7">
        <v>0</v>
      </c>
      <c r="AJ157" s="6"/>
      <c r="AK157" s="7">
        <v>0</v>
      </c>
      <c r="AL157" s="6"/>
      <c r="AM157" s="7">
        <v>0</v>
      </c>
      <c r="AN157" s="6"/>
      <c r="AO157" s="7">
        <v>0</v>
      </c>
      <c r="AP157" s="6"/>
      <c r="AQ157" s="7">
        <v>0</v>
      </c>
      <c r="AR157" s="6"/>
      <c r="AS157" s="7">
        <v>0</v>
      </c>
      <c r="AT157" s="6"/>
      <c r="AU157" s="7">
        <v>0</v>
      </c>
      <c r="AV157" s="6"/>
      <c r="AW157" s="7">
        <v>0</v>
      </c>
      <c r="AX157" s="6"/>
      <c r="AY157" s="7">
        <v>0</v>
      </c>
      <c r="AZ157" s="6"/>
      <c r="BA157" s="7">
        <v>0</v>
      </c>
      <c r="BB157" s="6"/>
      <c r="BC157" s="7">
        <v>0</v>
      </c>
      <c r="BD157" s="6"/>
      <c r="BE157" s="7">
        <v>0</v>
      </c>
      <c r="BF157" s="6"/>
      <c r="BG157" s="7">
        <v>0</v>
      </c>
      <c r="BH157" s="6"/>
      <c r="BI157" s="7">
        <v>0</v>
      </c>
      <c r="BJ157" s="6"/>
      <c r="BK157" s="7">
        <v>0</v>
      </c>
      <c r="BL157" s="6"/>
      <c r="BM157" s="7">
        <v>0</v>
      </c>
      <c r="BN157" s="6"/>
      <c r="BO157" s="7">
        <v>0</v>
      </c>
      <c r="BP157" s="6"/>
      <c r="BQ157" s="7">
        <f>ROUND(SUM(G157:BO157),5)</f>
        <v>178.1</v>
      </c>
    </row>
    <row r="158" spans="1:69">
      <c r="A158" s="4"/>
      <c r="B158" s="4"/>
      <c r="C158" s="4"/>
      <c r="D158" s="4"/>
      <c r="E158" s="4"/>
      <c r="F158" s="4" t="s">
        <v>239</v>
      </c>
      <c r="G158" s="7">
        <v>0</v>
      </c>
      <c r="H158" s="6"/>
      <c r="I158" s="7">
        <v>0</v>
      </c>
      <c r="J158" s="6"/>
      <c r="K158" s="7">
        <v>0</v>
      </c>
      <c r="L158" s="6"/>
      <c r="M158" s="7">
        <v>0</v>
      </c>
      <c r="N158" s="6"/>
      <c r="O158" s="7">
        <v>0</v>
      </c>
      <c r="P158" s="6"/>
      <c r="Q158" s="7">
        <v>0</v>
      </c>
      <c r="R158" s="6"/>
      <c r="S158" s="7">
        <v>0</v>
      </c>
      <c r="T158" s="6"/>
      <c r="U158" s="7">
        <v>0</v>
      </c>
      <c r="V158" s="6"/>
      <c r="W158" s="7">
        <v>0</v>
      </c>
      <c r="X158" s="6"/>
      <c r="Y158" s="7">
        <v>0</v>
      </c>
      <c r="Z158" s="6"/>
      <c r="AA158" s="7">
        <v>0</v>
      </c>
      <c r="AB158" s="6"/>
      <c r="AC158" s="7">
        <v>0</v>
      </c>
      <c r="AD158" s="6"/>
      <c r="AE158" s="7">
        <v>0</v>
      </c>
      <c r="AF158" s="6"/>
      <c r="AG158" s="7">
        <v>792.99</v>
      </c>
      <c r="AH158" s="6"/>
      <c r="AI158" s="7">
        <v>0</v>
      </c>
      <c r="AJ158" s="6"/>
      <c r="AK158" s="7">
        <v>0</v>
      </c>
      <c r="AL158" s="6"/>
      <c r="AM158" s="7">
        <v>0</v>
      </c>
      <c r="AN158" s="6"/>
      <c r="AO158" s="7">
        <v>0</v>
      </c>
      <c r="AP158" s="6"/>
      <c r="AQ158" s="7">
        <v>0</v>
      </c>
      <c r="AR158" s="6"/>
      <c r="AS158" s="7">
        <v>0</v>
      </c>
      <c r="AT158" s="6"/>
      <c r="AU158" s="7">
        <v>0</v>
      </c>
      <c r="AV158" s="6"/>
      <c r="AW158" s="7">
        <v>0</v>
      </c>
      <c r="AX158" s="6"/>
      <c r="AY158" s="7">
        <v>0</v>
      </c>
      <c r="AZ158" s="6"/>
      <c r="BA158" s="7">
        <v>0</v>
      </c>
      <c r="BB158" s="6"/>
      <c r="BC158" s="7">
        <v>0</v>
      </c>
      <c r="BD158" s="6"/>
      <c r="BE158" s="7">
        <v>0</v>
      </c>
      <c r="BF158" s="6"/>
      <c r="BG158" s="7">
        <v>0</v>
      </c>
      <c r="BH158" s="6"/>
      <c r="BI158" s="7">
        <v>0</v>
      </c>
      <c r="BJ158" s="6"/>
      <c r="BK158" s="7">
        <v>0</v>
      </c>
      <c r="BL158" s="6"/>
      <c r="BM158" s="7">
        <v>0</v>
      </c>
      <c r="BN158" s="6"/>
      <c r="BO158" s="7">
        <v>0</v>
      </c>
      <c r="BP158" s="6"/>
      <c r="BQ158" s="7">
        <f>ROUND(SUM(G158:BO158),5)</f>
        <v>792.99</v>
      </c>
    </row>
    <row r="159" spans="1:69" ht="15.75" thickBot="1">
      <c r="A159" s="4"/>
      <c r="B159" s="4"/>
      <c r="C159" s="4"/>
      <c r="D159" s="4"/>
      <c r="E159" s="4"/>
      <c r="F159" s="4" t="s">
        <v>240</v>
      </c>
      <c r="G159" s="9">
        <v>0</v>
      </c>
      <c r="H159" s="6"/>
      <c r="I159" s="9">
        <v>0</v>
      </c>
      <c r="J159" s="6"/>
      <c r="K159" s="9">
        <v>0</v>
      </c>
      <c r="L159" s="6"/>
      <c r="M159" s="9">
        <v>0</v>
      </c>
      <c r="N159" s="6"/>
      <c r="O159" s="9">
        <v>0</v>
      </c>
      <c r="P159" s="6"/>
      <c r="Q159" s="9">
        <v>0</v>
      </c>
      <c r="R159" s="6"/>
      <c r="S159" s="9">
        <v>0</v>
      </c>
      <c r="T159" s="6"/>
      <c r="U159" s="9">
        <v>0</v>
      </c>
      <c r="V159" s="6"/>
      <c r="W159" s="9">
        <v>0</v>
      </c>
      <c r="X159" s="6"/>
      <c r="Y159" s="9">
        <v>0</v>
      </c>
      <c r="Z159" s="6"/>
      <c r="AA159" s="9">
        <v>0</v>
      </c>
      <c r="AB159" s="6"/>
      <c r="AC159" s="9">
        <v>0</v>
      </c>
      <c r="AD159" s="6"/>
      <c r="AE159" s="9">
        <v>0</v>
      </c>
      <c r="AF159" s="6"/>
      <c r="AG159" s="9">
        <v>511.54</v>
      </c>
      <c r="AH159" s="6"/>
      <c r="AI159" s="9">
        <v>0</v>
      </c>
      <c r="AJ159" s="6"/>
      <c r="AK159" s="9">
        <v>0</v>
      </c>
      <c r="AL159" s="6"/>
      <c r="AM159" s="9">
        <v>0</v>
      </c>
      <c r="AN159" s="6"/>
      <c r="AO159" s="9">
        <v>0</v>
      </c>
      <c r="AP159" s="6"/>
      <c r="AQ159" s="9">
        <v>0</v>
      </c>
      <c r="AR159" s="6"/>
      <c r="AS159" s="9">
        <v>0</v>
      </c>
      <c r="AT159" s="6"/>
      <c r="AU159" s="9">
        <v>0</v>
      </c>
      <c r="AV159" s="6"/>
      <c r="AW159" s="9">
        <v>0</v>
      </c>
      <c r="AX159" s="6"/>
      <c r="AY159" s="9">
        <v>0</v>
      </c>
      <c r="AZ159" s="6"/>
      <c r="BA159" s="9">
        <v>0</v>
      </c>
      <c r="BB159" s="6"/>
      <c r="BC159" s="9">
        <v>0</v>
      </c>
      <c r="BD159" s="6"/>
      <c r="BE159" s="9">
        <v>0</v>
      </c>
      <c r="BF159" s="6"/>
      <c r="BG159" s="9">
        <v>0</v>
      </c>
      <c r="BH159" s="6"/>
      <c r="BI159" s="9">
        <v>0</v>
      </c>
      <c r="BJ159" s="6"/>
      <c r="BK159" s="9">
        <v>0</v>
      </c>
      <c r="BL159" s="6"/>
      <c r="BM159" s="9">
        <v>0</v>
      </c>
      <c r="BN159" s="6"/>
      <c r="BO159" s="9">
        <v>0</v>
      </c>
      <c r="BP159" s="6"/>
      <c r="BQ159" s="9">
        <f>ROUND(SUM(G159:BO159),5)</f>
        <v>511.54</v>
      </c>
    </row>
    <row r="160" spans="1:69">
      <c r="A160" s="4"/>
      <c r="B160" s="4"/>
      <c r="C160" s="4"/>
      <c r="D160" s="4"/>
      <c r="E160" s="4" t="s">
        <v>241</v>
      </c>
      <c r="F160" s="4"/>
      <c r="G160" s="7">
        <f>ROUND(SUM(G155:G159),5)</f>
        <v>0</v>
      </c>
      <c r="H160" s="6"/>
      <c r="I160" s="7">
        <f>ROUND(SUM(I155:I159),5)</f>
        <v>0</v>
      </c>
      <c r="J160" s="6"/>
      <c r="K160" s="7">
        <f>ROUND(SUM(K155:K159),5)</f>
        <v>0</v>
      </c>
      <c r="L160" s="6"/>
      <c r="M160" s="7">
        <f>ROUND(SUM(M155:M159),5)</f>
        <v>0</v>
      </c>
      <c r="N160" s="6"/>
      <c r="O160" s="7">
        <f>ROUND(SUM(O155:O159),5)</f>
        <v>0</v>
      </c>
      <c r="P160" s="6"/>
      <c r="Q160" s="7">
        <f>ROUND(SUM(Q155:Q159),5)</f>
        <v>0</v>
      </c>
      <c r="R160" s="6"/>
      <c r="S160" s="7">
        <f>ROUND(SUM(S155:S159),5)</f>
        <v>0</v>
      </c>
      <c r="T160" s="6"/>
      <c r="U160" s="7">
        <f>ROUND(SUM(U155:U159),5)</f>
        <v>0</v>
      </c>
      <c r="V160" s="6"/>
      <c r="W160" s="7">
        <f>ROUND(SUM(W155:W159),5)</f>
        <v>0</v>
      </c>
      <c r="X160" s="6"/>
      <c r="Y160" s="7">
        <f>ROUND(SUM(Y155:Y159),5)</f>
        <v>0</v>
      </c>
      <c r="Z160" s="6"/>
      <c r="AA160" s="7">
        <f>ROUND(SUM(AA155:AA159),5)</f>
        <v>0</v>
      </c>
      <c r="AB160" s="6"/>
      <c r="AC160" s="7">
        <f>ROUND(SUM(AC155:AC159),5)</f>
        <v>0</v>
      </c>
      <c r="AD160" s="6"/>
      <c r="AE160" s="7">
        <f>ROUND(SUM(AE155:AE159),5)</f>
        <v>0</v>
      </c>
      <c r="AF160" s="6"/>
      <c r="AG160" s="7">
        <f>ROUND(SUM(AG155:AG159),5)</f>
        <v>17507.63</v>
      </c>
      <c r="AH160" s="6"/>
      <c r="AI160" s="7">
        <f>ROUND(SUM(AI155:AI159),5)</f>
        <v>0</v>
      </c>
      <c r="AJ160" s="6"/>
      <c r="AK160" s="7">
        <f>ROUND(SUM(AK155:AK159),5)</f>
        <v>0</v>
      </c>
      <c r="AL160" s="6"/>
      <c r="AM160" s="7">
        <f>ROUND(SUM(AM155:AM159),5)</f>
        <v>0</v>
      </c>
      <c r="AN160" s="6"/>
      <c r="AO160" s="7">
        <f>ROUND(SUM(AO155:AO159),5)</f>
        <v>0</v>
      </c>
      <c r="AP160" s="6"/>
      <c r="AQ160" s="7">
        <f>ROUND(SUM(AQ155:AQ159),5)</f>
        <v>0</v>
      </c>
      <c r="AR160" s="6"/>
      <c r="AS160" s="7">
        <f>ROUND(SUM(AS155:AS159),5)</f>
        <v>0</v>
      </c>
      <c r="AT160" s="6"/>
      <c r="AU160" s="7">
        <f>ROUND(SUM(AU155:AU159),5)</f>
        <v>0</v>
      </c>
      <c r="AV160" s="6"/>
      <c r="AW160" s="7">
        <f>ROUND(SUM(AW155:AW159),5)</f>
        <v>0</v>
      </c>
      <c r="AX160" s="6"/>
      <c r="AY160" s="7">
        <f>ROUND(SUM(AY155:AY159),5)</f>
        <v>0</v>
      </c>
      <c r="AZ160" s="6"/>
      <c r="BA160" s="7">
        <f>ROUND(SUM(BA155:BA159),5)</f>
        <v>0</v>
      </c>
      <c r="BB160" s="6"/>
      <c r="BC160" s="7">
        <f>ROUND(SUM(BC155:BC159),5)</f>
        <v>0</v>
      </c>
      <c r="BD160" s="6"/>
      <c r="BE160" s="7">
        <f>ROUND(SUM(BE155:BE159),5)</f>
        <v>0</v>
      </c>
      <c r="BF160" s="6"/>
      <c r="BG160" s="7">
        <f>ROUND(SUM(BG155:BG159),5)</f>
        <v>0</v>
      </c>
      <c r="BH160" s="6"/>
      <c r="BI160" s="7">
        <f>ROUND(SUM(BI155:BI159),5)</f>
        <v>0</v>
      </c>
      <c r="BJ160" s="6"/>
      <c r="BK160" s="7">
        <f>ROUND(SUM(BK155:BK159),5)</f>
        <v>0</v>
      </c>
      <c r="BL160" s="6"/>
      <c r="BM160" s="7">
        <f>ROUND(SUM(BM155:BM159),5)</f>
        <v>0</v>
      </c>
      <c r="BN160" s="6"/>
      <c r="BO160" s="7">
        <f>ROUND(SUM(BO155:BO159),5)</f>
        <v>0</v>
      </c>
      <c r="BP160" s="6"/>
      <c r="BQ160" s="7">
        <f>ROUND(SUM(G160:BO160),5)</f>
        <v>17507.63</v>
      </c>
    </row>
    <row r="161" spans="1:69">
      <c r="A161" s="4"/>
      <c r="B161" s="4"/>
      <c r="C161" s="4"/>
      <c r="D161" s="4"/>
      <c r="E161" s="4" t="s">
        <v>242</v>
      </c>
      <c r="F161" s="4"/>
      <c r="G161" s="7"/>
      <c r="H161" s="6"/>
      <c r="I161" s="7"/>
      <c r="J161" s="6"/>
      <c r="K161" s="7"/>
      <c r="L161" s="6"/>
      <c r="M161" s="7"/>
      <c r="N161" s="6"/>
      <c r="O161" s="7"/>
      <c r="P161" s="6"/>
      <c r="Q161" s="7"/>
      <c r="R161" s="6"/>
      <c r="S161" s="7"/>
      <c r="T161" s="6"/>
      <c r="U161" s="7"/>
      <c r="V161" s="6"/>
      <c r="W161" s="7"/>
      <c r="X161" s="6"/>
      <c r="Y161" s="7"/>
      <c r="Z161" s="6"/>
      <c r="AA161" s="7"/>
      <c r="AB161" s="6"/>
      <c r="AC161" s="7"/>
      <c r="AD161" s="6"/>
      <c r="AE161" s="7"/>
      <c r="AF161" s="6"/>
      <c r="AG161" s="7"/>
      <c r="AH161" s="6"/>
      <c r="AI161" s="7"/>
      <c r="AJ161" s="6"/>
      <c r="AK161" s="7"/>
      <c r="AL161" s="6"/>
      <c r="AM161" s="7"/>
      <c r="AN161" s="6"/>
      <c r="AO161" s="7"/>
      <c r="AP161" s="6"/>
      <c r="AQ161" s="7"/>
      <c r="AR161" s="6"/>
      <c r="AS161" s="7"/>
      <c r="AT161" s="6"/>
      <c r="AU161" s="7"/>
      <c r="AV161" s="6"/>
      <c r="AW161" s="7"/>
      <c r="AX161" s="6"/>
      <c r="AY161" s="7"/>
      <c r="AZ161" s="6"/>
      <c r="BA161" s="7"/>
      <c r="BB161" s="6"/>
      <c r="BC161" s="7"/>
      <c r="BD161" s="6"/>
      <c r="BE161" s="7"/>
      <c r="BF161" s="6"/>
      <c r="BG161" s="7"/>
      <c r="BH161" s="6"/>
      <c r="BI161" s="7"/>
      <c r="BJ161" s="6"/>
      <c r="BK161" s="7"/>
      <c r="BL161" s="6"/>
      <c r="BM161" s="7"/>
      <c r="BN161" s="6"/>
      <c r="BO161" s="7"/>
      <c r="BP161" s="6"/>
      <c r="BQ161" s="7"/>
    </row>
    <row r="162" spans="1:69">
      <c r="A162" s="4"/>
      <c r="B162" s="4"/>
      <c r="C162" s="4"/>
      <c r="D162" s="4"/>
      <c r="E162" s="4"/>
      <c r="F162" s="4" t="s">
        <v>243</v>
      </c>
      <c r="G162" s="7">
        <v>0</v>
      </c>
      <c r="H162" s="6"/>
      <c r="I162" s="7">
        <v>0</v>
      </c>
      <c r="J162" s="6"/>
      <c r="K162" s="7">
        <v>0</v>
      </c>
      <c r="L162" s="6"/>
      <c r="M162" s="7">
        <v>0</v>
      </c>
      <c r="N162" s="6"/>
      <c r="O162" s="7">
        <v>0</v>
      </c>
      <c r="P162" s="6"/>
      <c r="Q162" s="7">
        <v>0</v>
      </c>
      <c r="R162" s="6"/>
      <c r="S162" s="7">
        <v>0</v>
      </c>
      <c r="T162" s="6"/>
      <c r="U162" s="7">
        <v>0</v>
      </c>
      <c r="V162" s="6"/>
      <c r="W162" s="7">
        <v>0</v>
      </c>
      <c r="X162" s="6"/>
      <c r="Y162" s="7">
        <v>0</v>
      </c>
      <c r="Z162" s="6"/>
      <c r="AA162" s="7">
        <v>0</v>
      </c>
      <c r="AB162" s="6"/>
      <c r="AC162" s="7">
        <v>0</v>
      </c>
      <c r="AD162" s="6"/>
      <c r="AE162" s="7">
        <v>0</v>
      </c>
      <c r="AF162" s="6"/>
      <c r="AG162" s="7">
        <v>27146.42</v>
      </c>
      <c r="AH162" s="6"/>
      <c r="AI162" s="7">
        <v>2000</v>
      </c>
      <c r="AJ162" s="6"/>
      <c r="AK162" s="7">
        <v>0</v>
      </c>
      <c r="AL162" s="6"/>
      <c r="AM162" s="7">
        <v>0</v>
      </c>
      <c r="AN162" s="6"/>
      <c r="AO162" s="7">
        <v>0</v>
      </c>
      <c r="AP162" s="6"/>
      <c r="AQ162" s="7">
        <v>0</v>
      </c>
      <c r="AR162" s="6"/>
      <c r="AS162" s="7">
        <v>0</v>
      </c>
      <c r="AT162" s="6"/>
      <c r="AU162" s="7">
        <v>0</v>
      </c>
      <c r="AV162" s="6"/>
      <c r="AW162" s="7">
        <v>0</v>
      </c>
      <c r="AX162" s="6"/>
      <c r="AY162" s="7">
        <v>0</v>
      </c>
      <c r="AZ162" s="6"/>
      <c r="BA162" s="7">
        <v>0</v>
      </c>
      <c r="BB162" s="6"/>
      <c r="BC162" s="7">
        <v>0</v>
      </c>
      <c r="BD162" s="6"/>
      <c r="BE162" s="7">
        <v>0</v>
      </c>
      <c r="BF162" s="6"/>
      <c r="BG162" s="7">
        <v>0</v>
      </c>
      <c r="BH162" s="6"/>
      <c r="BI162" s="7">
        <v>0</v>
      </c>
      <c r="BJ162" s="6"/>
      <c r="BK162" s="7">
        <v>0</v>
      </c>
      <c r="BL162" s="6"/>
      <c r="BM162" s="7">
        <v>0</v>
      </c>
      <c r="BN162" s="6"/>
      <c r="BO162" s="7">
        <v>0</v>
      </c>
      <c r="BP162" s="6"/>
      <c r="BQ162" s="7">
        <f>ROUND(SUM(G162:BO162),5)</f>
        <v>29146.42</v>
      </c>
    </row>
    <row r="163" spans="1:69">
      <c r="A163" s="4"/>
      <c r="B163" s="4"/>
      <c r="C163" s="4"/>
      <c r="D163" s="4"/>
      <c r="E163" s="4"/>
      <c r="F163" s="4" t="s">
        <v>244</v>
      </c>
      <c r="G163" s="7">
        <v>0</v>
      </c>
      <c r="H163" s="6"/>
      <c r="I163" s="7">
        <v>0</v>
      </c>
      <c r="J163" s="6"/>
      <c r="K163" s="7">
        <v>0</v>
      </c>
      <c r="L163" s="6"/>
      <c r="M163" s="7">
        <v>0</v>
      </c>
      <c r="N163" s="6"/>
      <c r="O163" s="7">
        <v>0</v>
      </c>
      <c r="P163" s="6"/>
      <c r="Q163" s="7">
        <v>0</v>
      </c>
      <c r="R163" s="6"/>
      <c r="S163" s="7">
        <v>0</v>
      </c>
      <c r="T163" s="6"/>
      <c r="U163" s="7">
        <v>0</v>
      </c>
      <c r="V163" s="6"/>
      <c r="W163" s="7">
        <v>0</v>
      </c>
      <c r="X163" s="6"/>
      <c r="Y163" s="7">
        <v>0</v>
      </c>
      <c r="Z163" s="6"/>
      <c r="AA163" s="7">
        <v>0</v>
      </c>
      <c r="AB163" s="6"/>
      <c r="AC163" s="7">
        <v>0</v>
      </c>
      <c r="AD163" s="6"/>
      <c r="AE163" s="7">
        <v>0</v>
      </c>
      <c r="AF163" s="6"/>
      <c r="AG163" s="7">
        <v>2026.55</v>
      </c>
      <c r="AH163" s="6"/>
      <c r="AI163" s="7">
        <v>153</v>
      </c>
      <c r="AJ163" s="6"/>
      <c r="AK163" s="7">
        <v>0</v>
      </c>
      <c r="AL163" s="6"/>
      <c r="AM163" s="7">
        <v>0</v>
      </c>
      <c r="AN163" s="6"/>
      <c r="AO163" s="7">
        <v>0</v>
      </c>
      <c r="AP163" s="6"/>
      <c r="AQ163" s="7">
        <v>0</v>
      </c>
      <c r="AR163" s="6"/>
      <c r="AS163" s="7">
        <v>0</v>
      </c>
      <c r="AT163" s="6"/>
      <c r="AU163" s="7">
        <v>0</v>
      </c>
      <c r="AV163" s="6"/>
      <c r="AW163" s="7">
        <v>0</v>
      </c>
      <c r="AX163" s="6"/>
      <c r="AY163" s="7">
        <v>0</v>
      </c>
      <c r="AZ163" s="6"/>
      <c r="BA163" s="7">
        <v>0</v>
      </c>
      <c r="BB163" s="6"/>
      <c r="BC163" s="7">
        <v>0</v>
      </c>
      <c r="BD163" s="6"/>
      <c r="BE163" s="7">
        <v>0</v>
      </c>
      <c r="BF163" s="6"/>
      <c r="BG163" s="7">
        <v>0</v>
      </c>
      <c r="BH163" s="6"/>
      <c r="BI163" s="7">
        <v>0</v>
      </c>
      <c r="BJ163" s="6"/>
      <c r="BK163" s="7">
        <v>0</v>
      </c>
      <c r="BL163" s="6"/>
      <c r="BM163" s="7">
        <v>0</v>
      </c>
      <c r="BN163" s="6"/>
      <c r="BO163" s="7">
        <v>0</v>
      </c>
      <c r="BP163" s="6"/>
      <c r="BQ163" s="7">
        <f>ROUND(SUM(G163:BO163),5)</f>
        <v>2179.5500000000002</v>
      </c>
    </row>
    <row r="164" spans="1:69">
      <c r="A164" s="4"/>
      <c r="B164" s="4"/>
      <c r="C164" s="4"/>
      <c r="D164" s="4"/>
      <c r="E164" s="4"/>
      <c r="F164" s="4" t="s">
        <v>245</v>
      </c>
      <c r="G164" s="7">
        <v>0</v>
      </c>
      <c r="H164" s="6"/>
      <c r="I164" s="7">
        <v>0</v>
      </c>
      <c r="J164" s="6"/>
      <c r="K164" s="7">
        <v>0</v>
      </c>
      <c r="L164" s="6"/>
      <c r="M164" s="7">
        <v>0</v>
      </c>
      <c r="N164" s="6"/>
      <c r="O164" s="7">
        <v>0</v>
      </c>
      <c r="P164" s="6"/>
      <c r="Q164" s="7">
        <v>0</v>
      </c>
      <c r="R164" s="6"/>
      <c r="S164" s="7">
        <v>0</v>
      </c>
      <c r="T164" s="6"/>
      <c r="U164" s="7">
        <v>0</v>
      </c>
      <c r="V164" s="6"/>
      <c r="W164" s="7">
        <v>0</v>
      </c>
      <c r="X164" s="6"/>
      <c r="Y164" s="7">
        <v>0</v>
      </c>
      <c r="Z164" s="6"/>
      <c r="AA164" s="7">
        <v>0</v>
      </c>
      <c r="AB164" s="6"/>
      <c r="AC164" s="7">
        <v>0</v>
      </c>
      <c r="AD164" s="6"/>
      <c r="AE164" s="7">
        <v>0</v>
      </c>
      <c r="AF164" s="6"/>
      <c r="AG164" s="7">
        <v>-655.27</v>
      </c>
      <c r="AH164" s="6"/>
      <c r="AI164" s="7">
        <v>0</v>
      </c>
      <c r="AJ164" s="6"/>
      <c r="AK164" s="7">
        <v>0</v>
      </c>
      <c r="AL164" s="6"/>
      <c r="AM164" s="7">
        <v>0</v>
      </c>
      <c r="AN164" s="6"/>
      <c r="AO164" s="7">
        <v>0</v>
      </c>
      <c r="AP164" s="6"/>
      <c r="AQ164" s="7">
        <v>0</v>
      </c>
      <c r="AR164" s="6"/>
      <c r="AS164" s="7">
        <v>0</v>
      </c>
      <c r="AT164" s="6"/>
      <c r="AU164" s="7">
        <v>0</v>
      </c>
      <c r="AV164" s="6"/>
      <c r="AW164" s="7">
        <v>0</v>
      </c>
      <c r="AX164" s="6"/>
      <c r="AY164" s="7">
        <v>0</v>
      </c>
      <c r="AZ164" s="6"/>
      <c r="BA164" s="7">
        <v>0</v>
      </c>
      <c r="BB164" s="6"/>
      <c r="BC164" s="7">
        <v>0</v>
      </c>
      <c r="BD164" s="6"/>
      <c r="BE164" s="7">
        <v>0</v>
      </c>
      <c r="BF164" s="6"/>
      <c r="BG164" s="7">
        <v>0</v>
      </c>
      <c r="BH164" s="6"/>
      <c r="BI164" s="7">
        <v>0</v>
      </c>
      <c r="BJ164" s="6"/>
      <c r="BK164" s="7">
        <v>0</v>
      </c>
      <c r="BL164" s="6"/>
      <c r="BM164" s="7">
        <v>0</v>
      </c>
      <c r="BN164" s="6"/>
      <c r="BO164" s="7">
        <v>0</v>
      </c>
      <c r="BP164" s="6"/>
      <c r="BQ164" s="7">
        <f>ROUND(SUM(G164:BO164),5)</f>
        <v>-655.27</v>
      </c>
    </row>
    <row r="165" spans="1:69">
      <c r="A165" s="4"/>
      <c r="B165" s="4"/>
      <c r="C165" s="4"/>
      <c r="D165" s="4"/>
      <c r="E165" s="4"/>
      <c r="F165" s="4" t="s">
        <v>246</v>
      </c>
      <c r="G165" s="7">
        <v>0</v>
      </c>
      <c r="H165" s="6"/>
      <c r="I165" s="7">
        <v>0</v>
      </c>
      <c r="J165" s="6"/>
      <c r="K165" s="7">
        <v>0</v>
      </c>
      <c r="L165" s="6"/>
      <c r="M165" s="7">
        <v>0</v>
      </c>
      <c r="N165" s="6"/>
      <c r="O165" s="7">
        <v>0</v>
      </c>
      <c r="P165" s="6"/>
      <c r="Q165" s="7">
        <v>0</v>
      </c>
      <c r="R165" s="6"/>
      <c r="S165" s="7">
        <v>0</v>
      </c>
      <c r="T165" s="6"/>
      <c r="U165" s="7">
        <v>0</v>
      </c>
      <c r="V165" s="6"/>
      <c r="W165" s="7">
        <v>0</v>
      </c>
      <c r="X165" s="6"/>
      <c r="Y165" s="7">
        <v>0</v>
      </c>
      <c r="Z165" s="6"/>
      <c r="AA165" s="7">
        <v>0</v>
      </c>
      <c r="AB165" s="6"/>
      <c r="AC165" s="7">
        <v>0</v>
      </c>
      <c r="AD165" s="6"/>
      <c r="AE165" s="7">
        <v>0</v>
      </c>
      <c r="AF165" s="6"/>
      <c r="AG165" s="7">
        <v>29888.62</v>
      </c>
      <c r="AH165" s="6"/>
      <c r="AI165" s="7">
        <v>2200</v>
      </c>
      <c r="AJ165" s="6"/>
      <c r="AK165" s="7">
        <v>0</v>
      </c>
      <c r="AL165" s="6"/>
      <c r="AM165" s="7">
        <v>0</v>
      </c>
      <c r="AN165" s="6"/>
      <c r="AO165" s="7">
        <v>0</v>
      </c>
      <c r="AP165" s="6"/>
      <c r="AQ165" s="7">
        <v>0</v>
      </c>
      <c r="AR165" s="6"/>
      <c r="AS165" s="7">
        <v>0</v>
      </c>
      <c r="AT165" s="6"/>
      <c r="AU165" s="7">
        <v>0</v>
      </c>
      <c r="AV165" s="6"/>
      <c r="AW165" s="7">
        <v>0</v>
      </c>
      <c r="AX165" s="6"/>
      <c r="AY165" s="7">
        <v>0</v>
      </c>
      <c r="AZ165" s="6"/>
      <c r="BA165" s="7">
        <v>0</v>
      </c>
      <c r="BB165" s="6"/>
      <c r="BC165" s="7">
        <v>0</v>
      </c>
      <c r="BD165" s="6"/>
      <c r="BE165" s="7">
        <v>0</v>
      </c>
      <c r="BF165" s="6"/>
      <c r="BG165" s="7">
        <v>0</v>
      </c>
      <c r="BH165" s="6"/>
      <c r="BI165" s="7">
        <v>0</v>
      </c>
      <c r="BJ165" s="6"/>
      <c r="BK165" s="7">
        <v>0</v>
      </c>
      <c r="BL165" s="6"/>
      <c r="BM165" s="7">
        <v>0</v>
      </c>
      <c r="BN165" s="6"/>
      <c r="BO165" s="7">
        <v>0</v>
      </c>
      <c r="BP165" s="6"/>
      <c r="BQ165" s="7">
        <f>ROUND(SUM(G165:BO165),5)</f>
        <v>32088.62</v>
      </c>
    </row>
    <row r="166" spans="1:69">
      <c r="A166" s="4"/>
      <c r="B166" s="4"/>
      <c r="C166" s="4"/>
      <c r="D166" s="4"/>
      <c r="E166" s="4"/>
      <c r="F166" s="4" t="s">
        <v>247</v>
      </c>
      <c r="G166" s="7">
        <v>0</v>
      </c>
      <c r="H166" s="6"/>
      <c r="I166" s="7">
        <v>0</v>
      </c>
      <c r="J166" s="6"/>
      <c r="K166" s="7">
        <v>0</v>
      </c>
      <c r="L166" s="6"/>
      <c r="M166" s="7">
        <v>0</v>
      </c>
      <c r="N166" s="6"/>
      <c r="O166" s="7">
        <v>0</v>
      </c>
      <c r="P166" s="6"/>
      <c r="Q166" s="7">
        <v>0</v>
      </c>
      <c r="R166" s="6"/>
      <c r="S166" s="7">
        <v>0</v>
      </c>
      <c r="T166" s="6"/>
      <c r="U166" s="7">
        <v>0</v>
      </c>
      <c r="V166" s="6"/>
      <c r="W166" s="7">
        <v>0</v>
      </c>
      <c r="X166" s="6"/>
      <c r="Y166" s="7">
        <v>0</v>
      </c>
      <c r="Z166" s="6"/>
      <c r="AA166" s="7">
        <v>0</v>
      </c>
      <c r="AB166" s="6"/>
      <c r="AC166" s="7">
        <v>0</v>
      </c>
      <c r="AD166" s="6"/>
      <c r="AE166" s="7">
        <v>0</v>
      </c>
      <c r="AF166" s="6"/>
      <c r="AG166" s="7">
        <v>3427.05</v>
      </c>
      <c r="AH166" s="6"/>
      <c r="AI166" s="7">
        <v>0</v>
      </c>
      <c r="AJ166" s="6"/>
      <c r="AK166" s="7">
        <v>0</v>
      </c>
      <c r="AL166" s="6"/>
      <c r="AM166" s="7">
        <v>0</v>
      </c>
      <c r="AN166" s="6"/>
      <c r="AO166" s="7">
        <v>0</v>
      </c>
      <c r="AP166" s="6"/>
      <c r="AQ166" s="7">
        <v>0</v>
      </c>
      <c r="AR166" s="6"/>
      <c r="AS166" s="7">
        <v>0</v>
      </c>
      <c r="AT166" s="6"/>
      <c r="AU166" s="7">
        <v>0</v>
      </c>
      <c r="AV166" s="6"/>
      <c r="AW166" s="7">
        <v>0</v>
      </c>
      <c r="AX166" s="6"/>
      <c r="AY166" s="7">
        <v>0</v>
      </c>
      <c r="AZ166" s="6"/>
      <c r="BA166" s="7">
        <v>0</v>
      </c>
      <c r="BB166" s="6"/>
      <c r="BC166" s="7">
        <v>0</v>
      </c>
      <c r="BD166" s="6"/>
      <c r="BE166" s="7">
        <v>0</v>
      </c>
      <c r="BF166" s="6"/>
      <c r="BG166" s="7">
        <v>0</v>
      </c>
      <c r="BH166" s="6"/>
      <c r="BI166" s="7">
        <v>0</v>
      </c>
      <c r="BJ166" s="6"/>
      <c r="BK166" s="7">
        <v>0</v>
      </c>
      <c r="BL166" s="6"/>
      <c r="BM166" s="7">
        <v>0</v>
      </c>
      <c r="BN166" s="6"/>
      <c r="BO166" s="7">
        <v>0</v>
      </c>
      <c r="BP166" s="6"/>
      <c r="BQ166" s="7">
        <f>ROUND(SUM(G166:BO166),5)</f>
        <v>3427.05</v>
      </c>
    </row>
    <row r="167" spans="1:69">
      <c r="A167" s="4"/>
      <c r="B167" s="4"/>
      <c r="C167" s="4"/>
      <c r="D167" s="4"/>
      <c r="E167" s="4"/>
      <c r="F167" s="4" t="s">
        <v>248</v>
      </c>
      <c r="G167" s="7">
        <v>0</v>
      </c>
      <c r="H167" s="6"/>
      <c r="I167" s="7">
        <v>0</v>
      </c>
      <c r="J167" s="6"/>
      <c r="K167" s="7">
        <v>0</v>
      </c>
      <c r="L167" s="6"/>
      <c r="M167" s="7">
        <v>0</v>
      </c>
      <c r="N167" s="6"/>
      <c r="O167" s="7">
        <v>0</v>
      </c>
      <c r="P167" s="6"/>
      <c r="Q167" s="7">
        <v>0</v>
      </c>
      <c r="R167" s="6"/>
      <c r="S167" s="7">
        <v>0</v>
      </c>
      <c r="T167" s="6"/>
      <c r="U167" s="7">
        <v>0</v>
      </c>
      <c r="V167" s="6"/>
      <c r="W167" s="7">
        <v>0</v>
      </c>
      <c r="X167" s="6"/>
      <c r="Y167" s="7">
        <v>0</v>
      </c>
      <c r="Z167" s="6"/>
      <c r="AA167" s="7">
        <v>0</v>
      </c>
      <c r="AB167" s="6"/>
      <c r="AC167" s="7">
        <v>0</v>
      </c>
      <c r="AD167" s="6"/>
      <c r="AE167" s="7">
        <v>0</v>
      </c>
      <c r="AF167" s="6"/>
      <c r="AG167" s="7">
        <v>18431.23</v>
      </c>
      <c r="AH167" s="6"/>
      <c r="AI167" s="7">
        <v>0</v>
      </c>
      <c r="AJ167" s="6"/>
      <c r="AK167" s="7">
        <v>0</v>
      </c>
      <c r="AL167" s="6"/>
      <c r="AM167" s="7">
        <v>0</v>
      </c>
      <c r="AN167" s="6"/>
      <c r="AO167" s="7">
        <v>0</v>
      </c>
      <c r="AP167" s="6"/>
      <c r="AQ167" s="7">
        <v>0</v>
      </c>
      <c r="AR167" s="6"/>
      <c r="AS167" s="7">
        <v>0</v>
      </c>
      <c r="AT167" s="6"/>
      <c r="AU167" s="7">
        <v>0</v>
      </c>
      <c r="AV167" s="6"/>
      <c r="AW167" s="7">
        <v>0</v>
      </c>
      <c r="AX167" s="6"/>
      <c r="AY167" s="7">
        <v>0</v>
      </c>
      <c r="AZ167" s="6"/>
      <c r="BA167" s="7">
        <v>0</v>
      </c>
      <c r="BB167" s="6"/>
      <c r="BC167" s="7">
        <v>0</v>
      </c>
      <c r="BD167" s="6"/>
      <c r="BE167" s="7">
        <v>0</v>
      </c>
      <c r="BF167" s="6"/>
      <c r="BG167" s="7">
        <v>0</v>
      </c>
      <c r="BH167" s="6"/>
      <c r="BI167" s="7">
        <v>0</v>
      </c>
      <c r="BJ167" s="6"/>
      <c r="BK167" s="7">
        <v>0</v>
      </c>
      <c r="BL167" s="6"/>
      <c r="BM167" s="7">
        <v>0</v>
      </c>
      <c r="BN167" s="6"/>
      <c r="BO167" s="7">
        <v>0</v>
      </c>
      <c r="BP167" s="6"/>
      <c r="BQ167" s="7">
        <f>ROUND(SUM(G167:BO167),5)</f>
        <v>18431.23</v>
      </c>
    </row>
    <row r="168" spans="1:69">
      <c r="A168" s="4"/>
      <c r="B168" s="4"/>
      <c r="C168" s="4"/>
      <c r="D168" s="4"/>
      <c r="E168" s="4"/>
      <c r="F168" s="4" t="s">
        <v>249</v>
      </c>
      <c r="G168" s="7">
        <v>0</v>
      </c>
      <c r="H168" s="6"/>
      <c r="I168" s="7">
        <v>0</v>
      </c>
      <c r="J168" s="6"/>
      <c r="K168" s="7">
        <v>0</v>
      </c>
      <c r="L168" s="6"/>
      <c r="M168" s="7">
        <v>0</v>
      </c>
      <c r="N168" s="6"/>
      <c r="O168" s="7">
        <v>0</v>
      </c>
      <c r="P168" s="6"/>
      <c r="Q168" s="7">
        <v>0</v>
      </c>
      <c r="R168" s="6"/>
      <c r="S168" s="7">
        <v>0</v>
      </c>
      <c r="T168" s="6"/>
      <c r="U168" s="7">
        <v>0</v>
      </c>
      <c r="V168" s="6"/>
      <c r="W168" s="7">
        <v>0</v>
      </c>
      <c r="X168" s="6"/>
      <c r="Y168" s="7">
        <v>0</v>
      </c>
      <c r="Z168" s="6"/>
      <c r="AA168" s="7">
        <v>0</v>
      </c>
      <c r="AB168" s="6"/>
      <c r="AC168" s="7">
        <v>0</v>
      </c>
      <c r="AD168" s="6"/>
      <c r="AE168" s="7">
        <v>0</v>
      </c>
      <c r="AF168" s="6"/>
      <c r="AG168" s="7">
        <v>26708.84</v>
      </c>
      <c r="AH168" s="6"/>
      <c r="AI168" s="7">
        <v>0</v>
      </c>
      <c r="AJ168" s="6"/>
      <c r="AK168" s="7">
        <v>0</v>
      </c>
      <c r="AL168" s="6"/>
      <c r="AM168" s="7">
        <v>0</v>
      </c>
      <c r="AN168" s="6"/>
      <c r="AO168" s="7">
        <v>0</v>
      </c>
      <c r="AP168" s="6"/>
      <c r="AQ168" s="7">
        <v>0</v>
      </c>
      <c r="AR168" s="6"/>
      <c r="AS168" s="7">
        <v>0</v>
      </c>
      <c r="AT168" s="6"/>
      <c r="AU168" s="7">
        <v>37551.160000000003</v>
      </c>
      <c r="AV168" s="6"/>
      <c r="AW168" s="7">
        <v>0</v>
      </c>
      <c r="AX168" s="6"/>
      <c r="AY168" s="7">
        <v>0</v>
      </c>
      <c r="AZ168" s="6"/>
      <c r="BA168" s="7">
        <v>0</v>
      </c>
      <c r="BB168" s="6"/>
      <c r="BC168" s="7">
        <v>0</v>
      </c>
      <c r="BD168" s="6"/>
      <c r="BE168" s="7">
        <v>0</v>
      </c>
      <c r="BF168" s="6"/>
      <c r="BG168" s="7">
        <v>0</v>
      </c>
      <c r="BH168" s="6"/>
      <c r="BI168" s="7">
        <v>0</v>
      </c>
      <c r="BJ168" s="6"/>
      <c r="BK168" s="7">
        <v>0</v>
      </c>
      <c r="BL168" s="6"/>
      <c r="BM168" s="7">
        <v>0</v>
      </c>
      <c r="BN168" s="6"/>
      <c r="BO168" s="7">
        <v>0</v>
      </c>
      <c r="BP168" s="6"/>
      <c r="BQ168" s="7">
        <f>ROUND(SUM(G168:BO168),5)</f>
        <v>64260</v>
      </c>
    </row>
    <row r="169" spans="1:69">
      <c r="A169" s="4"/>
      <c r="B169" s="4"/>
      <c r="C169" s="4"/>
      <c r="D169" s="4"/>
      <c r="E169" s="4"/>
      <c r="F169" s="4" t="s">
        <v>250</v>
      </c>
      <c r="G169" s="7">
        <v>0</v>
      </c>
      <c r="H169" s="6"/>
      <c r="I169" s="7">
        <v>0</v>
      </c>
      <c r="J169" s="6"/>
      <c r="K169" s="7">
        <v>0</v>
      </c>
      <c r="L169" s="6"/>
      <c r="M169" s="7">
        <v>0</v>
      </c>
      <c r="N169" s="6"/>
      <c r="O169" s="7">
        <v>0</v>
      </c>
      <c r="P169" s="6"/>
      <c r="Q169" s="7">
        <v>0</v>
      </c>
      <c r="R169" s="6"/>
      <c r="S169" s="7">
        <v>0</v>
      </c>
      <c r="T169" s="6"/>
      <c r="U169" s="7">
        <v>0</v>
      </c>
      <c r="V169" s="6"/>
      <c r="W169" s="7">
        <v>0</v>
      </c>
      <c r="X169" s="6"/>
      <c r="Y169" s="7">
        <v>0</v>
      </c>
      <c r="Z169" s="6"/>
      <c r="AA169" s="7">
        <v>0</v>
      </c>
      <c r="AB169" s="6"/>
      <c r="AC169" s="7">
        <v>0</v>
      </c>
      <c r="AD169" s="6"/>
      <c r="AE169" s="7">
        <v>0</v>
      </c>
      <c r="AF169" s="6"/>
      <c r="AG169" s="7">
        <v>4150</v>
      </c>
      <c r="AH169" s="6"/>
      <c r="AI169" s="7">
        <v>0</v>
      </c>
      <c r="AJ169" s="6"/>
      <c r="AK169" s="7">
        <v>0</v>
      </c>
      <c r="AL169" s="6"/>
      <c r="AM169" s="7">
        <v>0</v>
      </c>
      <c r="AN169" s="6"/>
      <c r="AO169" s="7">
        <v>0</v>
      </c>
      <c r="AP169" s="6"/>
      <c r="AQ169" s="7">
        <v>0</v>
      </c>
      <c r="AR169" s="6"/>
      <c r="AS169" s="7">
        <v>0</v>
      </c>
      <c r="AT169" s="6"/>
      <c r="AU169" s="7">
        <v>0</v>
      </c>
      <c r="AV169" s="6"/>
      <c r="AW169" s="7">
        <v>0</v>
      </c>
      <c r="AX169" s="6"/>
      <c r="AY169" s="7">
        <v>0</v>
      </c>
      <c r="AZ169" s="6"/>
      <c r="BA169" s="7">
        <v>0</v>
      </c>
      <c r="BB169" s="6"/>
      <c r="BC169" s="7">
        <v>0</v>
      </c>
      <c r="BD169" s="6"/>
      <c r="BE169" s="7">
        <v>0</v>
      </c>
      <c r="BF169" s="6"/>
      <c r="BG169" s="7">
        <v>0</v>
      </c>
      <c r="BH169" s="6"/>
      <c r="BI169" s="7">
        <v>0</v>
      </c>
      <c r="BJ169" s="6"/>
      <c r="BK169" s="7">
        <v>0</v>
      </c>
      <c r="BL169" s="6"/>
      <c r="BM169" s="7">
        <v>0</v>
      </c>
      <c r="BN169" s="6"/>
      <c r="BO169" s="7">
        <v>0</v>
      </c>
      <c r="BP169" s="6"/>
      <c r="BQ169" s="7">
        <f>ROUND(SUM(G169:BO169),5)</f>
        <v>4150</v>
      </c>
    </row>
    <row r="170" spans="1:69">
      <c r="A170" s="4"/>
      <c r="B170" s="4"/>
      <c r="C170" s="4"/>
      <c r="D170" s="4"/>
      <c r="E170" s="4"/>
      <c r="F170" s="4" t="s">
        <v>251</v>
      </c>
      <c r="G170" s="7">
        <v>0</v>
      </c>
      <c r="H170" s="6"/>
      <c r="I170" s="7">
        <v>0</v>
      </c>
      <c r="J170" s="6"/>
      <c r="K170" s="7">
        <v>0</v>
      </c>
      <c r="L170" s="6"/>
      <c r="M170" s="7">
        <v>0</v>
      </c>
      <c r="N170" s="6"/>
      <c r="O170" s="7">
        <v>0</v>
      </c>
      <c r="P170" s="6"/>
      <c r="Q170" s="7">
        <v>0</v>
      </c>
      <c r="R170" s="6"/>
      <c r="S170" s="7">
        <v>0</v>
      </c>
      <c r="T170" s="6"/>
      <c r="U170" s="7">
        <v>0</v>
      </c>
      <c r="V170" s="6"/>
      <c r="W170" s="7">
        <v>0</v>
      </c>
      <c r="X170" s="6"/>
      <c r="Y170" s="7">
        <v>0</v>
      </c>
      <c r="Z170" s="6"/>
      <c r="AA170" s="7">
        <v>0</v>
      </c>
      <c r="AB170" s="6"/>
      <c r="AC170" s="7">
        <v>0</v>
      </c>
      <c r="AD170" s="6"/>
      <c r="AE170" s="7">
        <v>0</v>
      </c>
      <c r="AF170" s="6"/>
      <c r="AG170" s="7">
        <v>60937.54</v>
      </c>
      <c r="AH170" s="6"/>
      <c r="AI170" s="7">
        <v>0</v>
      </c>
      <c r="AJ170" s="6"/>
      <c r="AK170" s="7">
        <v>0</v>
      </c>
      <c r="AL170" s="6"/>
      <c r="AM170" s="7">
        <v>0</v>
      </c>
      <c r="AN170" s="6"/>
      <c r="AO170" s="7">
        <v>0</v>
      </c>
      <c r="AP170" s="6"/>
      <c r="AQ170" s="7">
        <v>0</v>
      </c>
      <c r="AR170" s="6"/>
      <c r="AS170" s="7">
        <v>0</v>
      </c>
      <c r="AT170" s="6"/>
      <c r="AU170" s="7">
        <v>16136.65</v>
      </c>
      <c r="AV170" s="6"/>
      <c r="AW170" s="7">
        <v>0</v>
      </c>
      <c r="AX170" s="6"/>
      <c r="AY170" s="7">
        <v>0</v>
      </c>
      <c r="AZ170" s="6"/>
      <c r="BA170" s="7">
        <v>0</v>
      </c>
      <c r="BB170" s="6"/>
      <c r="BC170" s="7">
        <v>0</v>
      </c>
      <c r="BD170" s="6"/>
      <c r="BE170" s="7">
        <v>0</v>
      </c>
      <c r="BF170" s="6"/>
      <c r="BG170" s="7">
        <v>0</v>
      </c>
      <c r="BH170" s="6"/>
      <c r="BI170" s="7">
        <v>0</v>
      </c>
      <c r="BJ170" s="6"/>
      <c r="BK170" s="7">
        <v>0</v>
      </c>
      <c r="BL170" s="6"/>
      <c r="BM170" s="7">
        <v>0</v>
      </c>
      <c r="BN170" s="6"/>
      <c r="BO170" s="7">
        <v>0</v>
      </c>
      <c r="BP170" s="6"/>
      <c r="BQ170" s="7">
        <f>ROUND(SUM(G170:BO170),5)</f>
        <v>77074.19</v>
      </c>
    </row>
    <row r="171" spans="1:69">
      <c r="A171" s="4"/>
      <c r="B171" s="4"/>
      <c r="C171" s="4"/>
      <c r="D171" s="4"/>
      <c r="E171" s="4"/>
      <c r="F171" s="4" t="s">
        <v>252</v>
      </c>
      <c r="G171" s="7">
        <v>0</v>
      </c>
      <c r="H171" s="6"/>
      <c r="I171" s="7">
        <v>0</v>
      </c>
      <c r="J171" s="6"/>
      <c r="K171" s="7">
        <v>0</v>
      </c>
      <c r="L171" s="6"/>
      <c r="M171" s="7">
        <v>0</v>
      </c>
      <c r="N171" s="6"/>
      <c r="O171" s="7">
        <v>0</v>
      </c>
      <c r="P171" s="6"/>
      <c r="Q171" s="7">
        <v>0</v>
      </c>
      <c r="R171" s="6"/>
      <c r="S171" s="7">
        <v>0</v>
      </c>
      <c r="T171" s="6"/>
      <c r="U171" s="7">
        <v>0</v>
      </c>
      <c r="V171" s="6"/>
      <c r="W171" s="7">
        <v>0</v>
      </c>
      <c r="X171" s="6"/>
      <c r="Y171" s="7">
        <v>0</v>
      </c>
      <c r="Z171" s="6"/>
      <c r="AA171" s="7">
        <v>0</v>
      </c>
      <c r="AB171" s="6"/>
      <c r="AC171" s="7">
        <v>0</v>
      </c>
      <c r="AD171" s="6"/>
      <c r="AE171" s="7">
        <v>0</v>
      </c>
      <c r="AF171" s="6"/>
      <c r="AG171" s="7">
        <v>-87407.94</v>
      </c>
      <c r="AH171" s="6"/>
      <c r="AI171" s="7">
        <v>17519.95</v>
      </c>
      <c r="AJ171" s="6"/>
      <c r="AK171" s="7">
        <v>0</v>
      </c>
      <c r="AL171" s="6"/>
      <c r="AM171" s="7">
        <v>0</v>
      </c>
      <c r="AN171" s="6"/>
      <c r="AO171" s="7">
        <v>0</v>
      </c>
      <c r="AP171" s="6"/>
      <c r="AQ171" s="7">
        <v>0</v>
      </c>
      <c r="AR171" s="6"/>
      <c r="AS171" s="7">
        <v>0</v>
      </c>
      <c r="AT171" s="6"/>
      <c r="AU171" s="7">
        <v>280127.39</v>
      </c>
      <c r="AV171" s="6"/>
      <c r="AW171" s="7">
        <v>0</v>
      </c>
      <c r="AX171" s="6"/>
      <c r="AY171" s="7">
        <v>0</v>
      </c>
      <c r="AZ171" s="6"/>
      <c r="BA171" s="7">
        <v>0</v>
      </c>
      <c r="BB171" s="6"/>
      <c r="BC171" s="7">
        <v>0</v>
      </c>
      <c r="BD171" s="6"/>
      <c r="BE171" s="7">
        <v>0</v>
      </c>
      <c r="BF171" s="6"/>
      <c r="BG171" s="7">
        <v>0</v>
      </c>
      <c r="BH171" s="6"/>
      <c r="BI171" s="7">
        <v>0</v>
      </c>
      <c r="BJ171" s="6"/>
      <c r="BK171" s="7">
        <v>0</v>
      </c>
      <c r="BL171" s="6"/>
      <c r="BM171" s="7">
        <v>0</v>
      </c>
      <c r="BN171" s="6"/>
      <c r="BO171" s="7">
        <v>0</v>
      </c>
      <c r="BP171" s="6"/>
      <c r="BQ171" s="7">
        <f>ROUND(SUM(G171:BO171),5)</f>
        <v>210239.4</v>
      </c>
    </row>
    <row r="172" spans="1:69">
      <c r="A172" s="4"/>
      <c r="B172" s="4"/>
      <c r="C172" s="4"/>
      <c r="D172" s="4"/>
      <c r="E172" s="4"/>
      <c r="F172" s="4" t="s">
        <v>253</v>
      </c>
      <c r="G172" s="7">
        <v>0</v>
      </c>
      <c r="H172" s="6"/>
      <c r="I172" s="7">
        <v>0</v>
      </c>
      <c r="J172" s="6"/>
      <c r="K172" s="7">
        <v>0</v>
      </c>
      <c r="L172" s="6"/>
      <c r="M172" s="7">
        <v>0</v>
      </c>
      <c r="N172" s="6"/>
      <c r="O172" s="7">
        <v>0</v>
      </c>
      <c r="P172" s="6"/>
      <c r="Q172" s="7">
        <v>0</v>
      </c>
      <c r="R172" s="6"/>
      <c r="S172" s="7">
        <v>0</v>
      </c>
      <c r="T172" s="6"/>
      <c r="U172" s="7">
        <v>0</v>
      </c>
      <c r="V172" s="6"/>
      <c r="W172" s="7">
        <v>0</v>
      </c>
      <c r="X172" s="6"/>
      <c r="Y172" s="7">
        <v>0</v>
      </c>
      <c r="Z172" s="6"/>
      <c r="AA172" s="7">
        <v>0</v>
      </c>
      <c r="AB172" s="6"/>
      <c r="AC172" s="7">
        <v>0</v>
      </c>
      <c r="AD172" s="6"/>
      <c r="AE172" s="7">
        <v>0</v>
      </c>
      <c r="AF172" s="6"/>
      <c r="AG172" s="7">
        <v>489</v>
      </c>
      <c r="AH172" s="6"/>
      <c r="AI172" s="7">
        <v>0</v>
      </c>
      <c r="AJ172" s="6"/>
      <c r="AK172" s="7">
        <v>0</v>
      </c>
      <c r="AL172" s="6"/>
      <c r="AM172" s="7">
        <v>0</v>
      </c>
      <c r="AN172" s="6"/>
      <c r="AO172" s="7">
        <v>0</v>
      </c>
      <c r="AP172" s="6"/>
      <c r="AQ172" s="7">
        <v>0</v>
      </c>
      <c r="AR172" s="6"/>
      <c r="AS172" s="7">
        <v>0</v>
      </c>
      <c r="AT172" s="6"/>
      <c r="AU172" s="7">
        <v>0</v>
      </c>
      <c r="AV172" s="6"/>
      <c r="AW172" s="7">
        <v>0</v>
      </c>
      <c r="AX172" s="6"/>
      <c r="AY172" s="7">
        <v>0</v>
      </c>
      <c r="AZ172" s="6"/>
      <c r="BA172" s="7">
        <v>0</v>
      </c>
      <c r="BB172" s="6"/>
      <c r="BC172" s="7">
        <v>0</v>
      </c>
      <c r="BD172" s="6"/>
      <c r="BE172" s="7">
        <v>0</v>
      </c>
      <c r="BF172" s="6"/>
      <c r="BG172" s="7">
        <v>0</v>
      </c>
      <c r="BH172" s="6"/>
      <c r="BI172" s="7">
        <v>0</v>
      </c>
      <c r="BJ172" s="6"/>
      <c r="BK172" s="7">
        <v>0</v>
      </c>
      <c r="BL172" s="6"/>
      <c r="BM172" s="7">
        <v>0</v>
      </c>
      <c r="BN172" s="6"/>
      <c r="BO172" s="7">
        <v>0</v>
      </c>
      <c r="BP172" s="6"/>
      <c r="BQ172" s="7">
        <f>ROUND(SUM(G172:BO172),5)</f>
        <v>489</v>
      </c>
    </row>
    <row r="173" spans="1:69">
      <c r="A173" s="4"/>
      <c r="B173" s="4"/>
      <c r="C173" s="4"/>
      <c r="D173" s="4"/>
      <c r="E173" s="4"/>
      <c r="F173" s="4" t="s">
        <v>254</v>
      </c>
      <c r="G173" s="7">
        <v>0</v>
      </c>
      <c r="H173" s="6"/>
      <c r="I173" s="7">
        <v>0</v>
      </c>
      <c r="J173" s="6"/>
      <c r="K173" s="7">
        <v>0</v>
      </c>
      <c r="L173" s="6"/>
      <c r="M173" s="7">
        <v>0</v>
      </c>
      <c r="N173" s="6"/>
      <c r="O173" s="7">
        <v>0</v>
      </c>
      <c r="P173" s="6"/>
      <c r="Q173" s="7">
        <v>0</v>
      </c>
      <c r="R173" s="6"/>
      <c r="S173" s="7">
        <v>0</v>
      </c>
      <c r="T173" s="6"/>
      <c r="U173" s="7">
        <v>0</v>
      </c>
      <c r="V173" s="6"/>
      <c r="W173" s="7">
        <v>0</v>
      </c>
      <c r="X173" s="6"/>
      <c r="Y173" s="7">
        <v>0</v>
      </c>
      <c r="Z173" s="6"/>
      <c r="AA173" s="7">
        <v>0</v>
      </c>
      <c r="AB173" s="6"/>
      <c r="AC173" s="7">
        <v>0</v>
      </c>
      <c r="AD173" s="6"/>
      <c r="AE173" s="7">
        <v>0</v>
      </c>
      <c r="AF173" s="6"/>
      <c r="AG173" s="7">
        <v>11823.89</v>
      </c>
      <c r="AH173" s="6"/>
      <c r="AI173" s="7">
        <v>694.55</v>
      </c>
      <c r="AJ173" s="6"/>
      <c r="AK173" s="7">
        <v>0</v>
      </c>
      <c r="AL173" s="6"/>
      <c r="AM173" s="7">
        <v>0</v>
      </c>
      <c r="AN173" s="6"/>
      <c r="AO173" s="7">
        <v>0</v>
      </c>
      <c r="AP173" s="6"/>
      <c r="AQ173" s="7">
        <v>0</v>
      </c>
      <c r="AR173" s="6"/>
      <c r="AS173" s="7">
        <v>0</v>
      </c>
      <c r="AT173" s="6"/>
      <c r="AU173" s="7">
        <v>0</v>
      </c>
      <c r="AV173" s="6"/>
      <c r="AW173" s="7">
        <v>0</v>
      </c>
      <c r="AX173" s="6"/>
      <c r="AY173" s="7">
        <v>0</v>
      </c>
      <c r="AZ173" s="6"/>
      <c r="BA173" s="7">
        <v>0</v>
      </c>
      <c r="BB173" s="6"/>
      <c r="BC173" s="7">
        <v>0</v>
      </c>
      <c r="BD173" s="6"/>
      <c r="BE173" s="7">
        <v>0</v>
      </c>
      <c r="BF173" s="6"/>
      <c r="BG173" s="7">
        <v>0</v>
      </c>
      <c r="BH173" s="6"/>
      <c r="BI173" s="7">
        <v>0</v>
      </c>
      <c r="BJ173" s="6"/>
      <c r="BK173" s="7">
        <v>0</v>
      </c>
      <c r="BL173" s="6"/>
      <c r="BM173" s="7">
        <v>0</v>
      </c>
      <c r="BN173" s="6"/>
      <c r="BO173" s="7">
        <v>0</v>
      </c>
      <c r="BP173" s="6"/>
      <c r="BQ173" s="7">
        <f>ROUND(SUM(G173:BO173),5)</f>
        <v>12518.44</v>
      </c>
    </row>
    <row r="174" spans="1:69">
      <c r="A174" s="4"/>
      <c r="B174" s="4"/>
      <c r="C174" s="4"/>
      <c r="D174" s="4"/>
      <c r="E174" s="4"/>
      <c r="F174" s="4" t="s">
        <v>255</v>
      </c>
      <c r="G174" s="7">
        <v>0</v>
      </c>
      <c r="H174" s="6"/>
      <c r="I174" s="7">
        <v>0</v>
      </c>
      <c r="J174" s="6"/>
      <c r="K174" s="7">
        <v>0</v>
      </c>
      <c r="L174" s="6"/>
      <c r="M174" s="7">
        <v>0</v>
      </c>
      <c r="N174" s="6"/>
      <c r="O174" s="7">
        <v>0</v>
      </c>
      <c r="P174" s="6"/>
      <c r="Q174" s="7">
        <v>0</v>
      </c>
      <c r="R174" s="6"/>
      <c r="S174" s="7">
        <v>0</v>
      </c>
      <c r="T174" s="6"/>
      <c r="U174" s="7">
        <v>0</v>
      </c>
      <c r="V174" s="6"/>
      <c r="W174" s="7">
        <v>0</v>
      </c>
      <c r="X174" s="6"/>
      <c r="Y174" s="7">
        <v>0</v>
      </c>
      <c r="Z174" s="6"/>
      <c r="AA174" s="7">
        <v>0</v>
      </c>
      <c r="AB174" s="6"/>
      <c r="AC174" s="7">
        <v>0</v>
      </c>
      <c r="AD174" s="6"/>
      <c r="AE174" s="7">
        <v>0</v>
      </c>
      <c r="AF174" s="6"/>
      <c r="AG174" s="7">
        <v>18289.23</v>
      </c>
      <c r="AH174" s="6"/>
      <c r="AI174" s="7">
        <v>5849.82</v>
      </c>
      <c r="AJ174" s="6"/>
      <c r="AK174" s="7">
        <v>0</v>
      </c>
      <c r="AL174" s="6"/>
      <c r="AM174" s="7">
        <v>0</v>
      </c>
      <c r="AN174" s="6"/>
      <c r="AO174" s="7">
        <v>0</v>
      </c>
      <c r="AP174" s="6"/>
      <c r="AQ174" s="7">
        <v>0</v>
      </c>
      <c r="AR174" s="6"/>
      <c r="AS174" s="7">
        <v>0</v>
      </c>
      <c r="AT174" s="6"/>
      <c r="AU174" s="7">
        <v>31757.74</v>
      </c>
      <c r="AV174" s="6"/>
      <c r="AW174" s="7">
        <v>0</v>
      </c>
      <c r="AX174" s="6"/>
      <c r="AY174" s="7">
        <v>0</v>
      </c>
      <c r="AZ174" s="6"/>
      <c r="BA174" s="7">
        <v>0</v>
      </c>
      <c r="BB174" s="6"/>
      <c r="BC174" s="7">
        <v>0</v>
      </c>
      <c r="BD174" s="6"/>
      <c r="BE174" s="7">
        <v>0</v>
      </c>
      <c r="BF174" s="6"/>
      <c r="BG174" s="7">
        <v>0</v>
      </c>
      <c r="BH174" s="6"/>
      <c r="BI174" s="7">
        <v>0</v>
      </c>
      <c r="BJ174" s="6"/>
      <c r="BK174" s="7">
        <v>0</v>
      </c>
      <c r="BL174" s="6"/>
      <c r="BM174" s="7">
        <v>0</v>
      </c>
      <c r="BN174" s="6"/>
      <c r="BO174" s="7">
        <v>0</v>
      </c>
      <c r="BP174" s="6"/>
      <c r="BQ174" s="7">
        <f>ROUND(SUM(G174:BO174),5)</f>
        <v>55896.79</v>
      </c>
    </row>
    <row r="175" spans="1:69" ht="15.75" thickBot="1">
      <c r="A175" s="4"/>
      <c r="B175" s="4"/>
      <c r="C175" s="4"/>
      <c r="D175" s="4"/>
      <c r="E175" s="4"/>
      <c r="F175" s="4" t="s">
        <v>256</v>
      </c>
      <c r="G175" s="9">
        <v>0</v>
      </c>
      <c r="H175" s="6"/>
      <c r="I175" s="9">
        <v>0</v>
      </c>
      <c r="J175" s="6"/>
      <c r="K175" s="9">
        <v>0</v>
      </c>
      <c r="L175" s="6"/>
      <c r="M175" s="9">
        <v>0</v>
      </c>
      <c r="N175" s="6"/>
      <c r="O175" s="9">
        <v>0</v>
      </c>
      <c r="P175" s="6"/>
      <c r="Q175" s="9">
        <v>0</v>
      </c>
      <c r="R175" s="6"/>
      <c r="S175" s="9">
        <v>0</v>
      </c>
      <c r="T175" s="6"/>
      <c r="U175" s="9">
        <v>0</v>
      </c>
      <c r="V175" s="6"/>
      <c r="W175" s="9">
        <v>0</v>
      </c>
      <c r="X175" s="6"/>
      <c r="Y175" s="9">
        <v>0</v>
      </c>
      <c r="Z175" s="6"/>
      <c r="AA175" s="9">
        <v>0</v>
      </c>
      <c r="AB175" s="6"/>
      <c r="AC175" s="9">
        <v>0</v>
      </c>
      <c r="AD175" s="6"/>
      <c r="AE175" s="9">
        <v>0</v>
      </c>
      <c r="AF175" s="6"/>
      <c r="AG175" s="9">
        <v>9673.7000000000007</v>
      </c>
      <c r="AH175" s="6"/>
      <c r="AI175" s="9">
        <v>0</v>
      </c>
      <c r="AJ175" s="6"/>
      <c r="AK175" s="9">
        <v>0</v>
      </c>
      <c r="AL175" s="6"/>
      <c r="AM175" s="9">
        <v>0</v>
      </c>
      <c r="AN175" s="6"/>
      <c r="AO175" s="9">
        <v>0</v>
      </c>
      <c r="AP175" s="6"/>
      <c r="AQ175" s="9">
        <v>0</v>
      </c>
      <c r="AR175" s="6"/>
      <c r="AS175" s="9">
        <v>0</v>
      </c>
      <c r="AT175" s="6"/>
      <c r="AU175" s="9">
        <v>6294.47</v>
      </c>
      <c r="AV175" s="6"/>
      <c r="AW175" s="9">
        <v>0</v>
      </c>
      <c r="AX175" s="6"/>
      <c r="AY175" s="9">
        <v>0</v>
      </c>
      <c r="AZ175" s="6"/>
      <c r="BA175" s="9">
        <v>0</v>
      </c>
      <c r="BB175" s="6"/>
      <c r="BC175" s="9">
        <v>0</v>
      </c>
      <c r="BD175" s="6"/>
      <c r="BE175" s="9">
        <v>0</v>
      </c>
      <c r="BF175" s="6"/>
      <c r="BG175" s="9">
        <v>0</v>
      </c>
      <c r="BH175" s="6"/>
      <c r="BI175" s="9">
        <v>0</v>
      </c>
      <c r="BJ175" s="6"/>
      <c r="BK175" s="9">
        <v>0</v>
      </c>
      <c r="BL175" s="6"/>
      <c r="BM175" s="9">
        <v>0</v>
      </c>
      <c r="BN175" s="6"/>
      <c r="BO175" s="9">
        <v>0</v>
      </c>
      <c r="BP175" s="6"/>
      <c r="BQ175" s="9">
        <f>ROUND(SUM(G175:BO175),5)</f>
        <v>15968.17</v>
      </c>
    </row>
    <row r="176" spans="1:69">
      <c r="A176" s="4"/>
      <c r="B176" s="4"/>
      <c r="C176" s="4"/>
      <c r="D176" s="4"/>
      <c r="E176" s="4" t="s">
        <v>257</v>
      </c>
      <c r="F176" s="4"/>
      <c r="G176" s="7">
        <f>ROUND(SUM(G161:G175),5)</f>
        <v>0</v>
      </c>
      <c r="H176" s="6"/>
      <c r="I176" s="7">
        <f>ROUND(SUM(I161:I175),5)</f>
        <v>0</v>
      </c>
      <c r="J176" s="6"/>
      <c r="K176" s="7">
        <f>ROUND(SUM(K161:K175),5)</f>
        <v>0</v>
      </c>
      <c r="L176" s="6"/>
      <c r="M176" s="7">
        <f>ROUND(SUM(M161:M175),5)</f>
        <v>0</v>
      </c>
      <c r="N176" s="6"/>
      <c r="O176" s="7">
        <f>ROUND(SUM(O161:O175),5)</f>
        <v>0</v>
      </c>
      <c r="P176" s="6"/>
      <c r="Q176" s="7">
        <f>ROUND(SUM(Q161:Q175),5)</f>
        <v>0</v>
      </c>
      <c r="R176" s="6"/>
      <c r="S176" s="7">
        <f>ROUND(SUM(S161:S175),5)</f>
        <v>0</v>
      </c>
      <c r="T176" s="6"/>
      <c r="U176" s="7">
        <f>ROUND(SUM(U161:U175),5)</f>
        <v>0</v>
      </c>
      <c r="V176" s="6"/>
      <c r="W176" s="7">
        <f>ROUND(SUM(W161:W175),5)</f>
        <v>0</v>
      </c>
      <c r="X176" s="6"/>
      <c r="Y176" s="7">
        <f>ROUND(SUM(Y161:Y175),5)</f>
        <v>0</v>
      </c>
      <c r="Z176" s="6"/>
      <c r="AA176" s="7">
        <f>ROUND(SUM(AA161:AA175),5)</f>
        <v>0</v>
      </c>
      <c r="AB176" s="6"/>
      <c r="AC176" s="7">
        <f>ROUND(SUM(AC161:AC175),5)</f>
        <v>0</v>
      </c>
      <c r="AD176" s="6"/>
      <c r="AE176" s="7">
        <f>ROUND(SUM(AE161:AE175),5)</f>
        <v>0</v>
      </c>
      <c r="AF176" s="6"/>
      <c r="AG176" s="7">
        <f>ROUND(SUM(AG161:AG175),5)</f>
        <v>124928.86</v>
      </c>
      <c r="AH176" s="6"/>
      <c r="AI176" s="7">
        <f>ROUND(SUM(AI161:AI175),5)</f>
        <v>28417.32</v>
      </c>
      <c r="AJ176" s="6"/>
      <c r="AK176" s="7">
        <f>ROUND(SUM(AK161:AK175),5)</f>
        <v>0</v>
      </c>
      <c r="AL176" s="6"/>
      <c r="AM176" s="7">
        <f>ROUND(SUM(AM161:AM175),5)</f>
        <v>0</v>
      </c>
      <c r="AN176" s="6"/>
      <c r="AO176" s="7">
        <f>ROUND(SUM(AO161:AO175),5)</f>
        <v>0</v>
      </c>
      <c r="AP176" s="6"/>
      <c r="AQ176" s="7">
        <f>ROUND(SUM(AQ161:AQ175),5)</f>
        <v>0</v>
      </c>
      <c r="AR176" s="6"/>
      <c r="AS176" s="7">
        <f>ROUND(SUM(AS161:AS175),5)</f>
        <v>0</v>
      </c>
      <c r="AT176" s="6"/>
      <c r="AU176" s="7">
        <f>ROUND(SUM(AU161:AU175),5)</f>
        <v>371867.41</v>
      </c>
      <c r="AV176" s="6"/>
      <c r="AW176" s="7">
        <f>ROUND(SUM(AW161:AW175),5)</f>
        <v>0</v>
      </c>
      <c r="AX176" s="6"/>
      <c r="AY176" s="7">
        <f>ROUND(SUM(AY161:AY175),5)</f>
        <v>0</v>
      </c>
      <c r="AZ176" s="6"/>
      <c r="BA176" s="7">
        <f>ROUND(SUM(BA161:BA175),5)</f>
        <v>0</v>
      </c>
      <c r="BB176" s="6"/>
      <c r="BC176" s="7">
        <f>ROUND(SUM(BC161:BC175),5)</f>
        <v>0</v>
      </c>
      <c r="BD176" s="6"/>
      <c r="BE176" s="7">
        <f>ROUND(SUM(BE161:BE175),5)</f>
        <v>0</v>
      </c>
      <c r="BF176" s="6"/>
      <c r="BG176" s="7">
        <f>ROUND(SUM(BG161:BG175),5)</f>
        <v>0</v>
      </c>
      <c r="BH176" s="6"/>
      <c r="BI176" s="7">
        <f>ROUND(SUM(BI161:BI175),5)</f>
        <v>0</v>
      </c>
      <c r="BJ176" s="6"/>
      <c r="BK176" s="7">
        <f>ROUND(SUM(BK161:BK175),5)</f>
        <v>0</v>
      </c>
      <c r="BL176" s="6"/>
      <c r="BM176" s="7">
        <f>ROUND(SUM(BM161:BM175),5)</f>
        <v>0</v>
      </c>
      <c r="BN176" s="6"/>
      <c r="BO176" s="7">
        <f>ROUND(SUM(BO161:BO175),5)</f>
        <v>0</v>
      </c>
      <c r="BP176" s="6"/>
      <c r="BQ176" s="7">
        <f>ROUND(SUM(G176:BO176),5)</f>
        <v>525213.59</v>
      </c>
    </row>
    <row r="177" spans="1:69">
      <c r="A177" s="4"/>
      <c r="B177" s="4"/>
      <c r="C177" s="4"/>
      <c r="D177" s="4"/>
      <c r="E177" s="4" t="s">
        <v>258</v>
      </c>
      <c r="F177" s="4"/>
      <c r="G177" s="7"/>
      <c r="H177" s="6"/>
      <c r="I177" s="7"/>
      <c r="J177" s="6"/>
      <c r="K177" s="7"/>
      <c r="L177" s="6"/>
      <c r="M177" s="7"/>
      <c r="N177" s="6"/>
      <c r="O177" s="7"/>
      <c r="P177" s="6"/>
      <c r="Q177" s="7"/>
      <c r="R177" s="6"/>
      <c r="S177" s="7"/>
      <c r="T177" s="6"/>
      <c r="U177" s="7"/>
      <c r="V177" s="6"/>
      <c r="W177" s="7"/>
      <c r="X177" s="6"/>
      <c r="Y177" s="7"/>
      <c r="Z177" s="6"/>
      <c r="AA177" s="7"/>
      <c r="AB177" s="6"/>
      <c r="AC177" s="7"/>
      <c r="AD177" s="6"/>
      <c r="AE177" s="7"/>
      <c r="AF177" s="6"/>
      <c r="AG177" s="7"/>
      <c r="AH177" s="6"/>
      <c r="AI177" s="7"/>
      <c r="AJ177" s="6"/>
      <c r="AK177" s="7"/>
      <c r="AL177" s="6"/>
      <c r="AM177" s="7"/>
      <c r="AN177" s="6"/>
      <c r="AO177" s="7"/>
      <c r="AP177" s="6"/>
      <c r="AQ177" s="7"/>
      <c r="AR177" s="6"/>
      <c r="AS177" s="7"/>
      <c r="AT177" s="6"/>
      <c r="AU177" s="7"/>
      <c r="AV177" s="6"/>
      <c r="AW177" s="7"/>
      <c r="AX177" s="6"/>
      <c r="AY177" s="7"/>
      <c r="AZ177" s="6"/>
      <c r="BA177" s="7"/>
      <c r="BB177" s="6"/>
      <c r="BC177" s="7"/>
      <c r="BD177" s="6"/>
      <c r="BE177" s="7"/>
      <c r="BF177" s="6"/>
      <c r="BG177" s="7"/>
      <c r="BH177" s="6"/>
      <c r="BI177" s="7"/>
      <c r="BJ177" s="6"/>
      <c r="BK177" s="7"/>
      <c r="BL177" s="6"/>
      <c r="BM177" s="7"/>
      <c r="BN177" s="6"/>
      <c r="BO177" s="7"/>
      <c r="BP177" s="6"/>
      <c r="BQ177" s="7"/>
    </row>
    <row r="178" spans="1:69" ht="15.75" thickBot="1">
      <c r="A178" s="4"/>
      <c r="B178" s="4"/>
      <c r="C178" s="4"/>
      <c r="D178" s="4"/>
      <c r="E178" s="4"/>
      <c r="F178" s="4" t="s">
        <v>259</v>
      </c>
      <c r="G178" s="9">
        <v>0</v>
      </c>
      <c r="H178" s="6"/>
      <c r="I178" s="9">
        <v>0</v>
      </c>
      <c r="J178" s="6"/>
      <c r="K178" s="9">
        <v>0</v>
      </c>
      <c r="L178" s="6"/>
      <c r="M178" s="9">
        <v>0</v>
      </c>
      <c r="N178" s="6"/>
      <c r="O178" s="9">
        <v>0</v>
      </c>
      <c r="P178" s="6"/>
      <c r="Q178" s="9">
        <v>0</v>
      </c>
      <c r="R178" s="6"/>
      <c r="S178" s="9">
        <v>0</v>
      </c>
      <c r="T178" s="6"/>
      <c r="U178" s="9">
        <v>0</v>
      </c>
      <c r="V178" s="6"/>
      <c r="W178" s="9">
        <v>0</v>
      </c>
      <c r="X178" s="6"/>
      <c r="Y178" s="9">
        <v>0</v>
      </c>
      <c r="Z178" s="6"/>
      <c r="AA178" s="9">
        <v>0</v>
      </c>
      <c r="AB178" s="6"/>
      <c r="AC178" s="9">
        <v>0</v>
      </c>
      <c r="AD178" s="6"/>
      <c r="AE178" s="9">
        <v>0</v>
      </c>
      <c r="AF178" s="6"/>
      <c r="AG178" s="9">
        <v>9990</v>
      </c>
      <c r="AH178" s="6"/>
      <c r="AI178" s="9">
        <v>0</v>
      </c>
      <c r="AJ178" s="6"/>
      <c r="AK178" s="9">
        <v>0</v>
      </c>
      <c r="AL178" s="6"/>
      <c r="AM178" s="9">
        <v>0</v>
      </c>
      <c r="AN178" s="6"/>
      <c r="AO178" s="9">
        <v>0</v>
      </c>
      <c r="AP178" s="6"/>
      <c r="AQ178" s="9">
        <v>0</v>
      </c>
      <c r="AR178" s="6"/>
      <c r="AS178" s="9">
        <v>0</v>
      </c>
      <c r="AT178" s="6"/>
      <c r="AU178" s="9">
        <v>0</v>
      </c>
      <c r="AV178" s="6"/>
      <c r="AW178" s="9">
        <v>0</v>
      </c>
      <c r="AX178" s="6"/>
      <c r="AY178" s="9">
        <v>0</v>
      </c>
      <c r="AZ178" s="6"/>
      <c r="BA178" s="9">
        <v>0</v>
      </c>
      <c r="BB178" s="6"/>
      <c r="BC178" s="9">
        <v>0</v>
      </c>
      <c r="BD178" s="6"/>
      <c r="BE178" s="9">
        <v>0</v>
      </c>
      <c r="BF178" s="6"/>
      <c r="BG178" s="9">
        <v>0</v>
      </c>
      <c r="BH178" s="6"/>
      <c r="BI178" s="9">
        <v>0</v>
      </c>
      <c r="BJ178" s="6"/>
      <c r="BK178" s="9">
        <v>0</v>
      </c>
      <c r="BL178" s="6"/>
      <c r="BM178" s="9">
        <v>0</v>
      </c>
      <c r="BN178" s="6"/>
      <c r="BO178" s="9">
        <v>0</v>
      </c>
      <c r="BP178" s="6"/>
      <c r="BQ178" s="9">
        <f>ROUND(SUM(G178:BO178),5)</f>
        <v>9990</v>
      </c>
    </row>
    <row r="179" spans="1:69">
      <c r="A179" s="4"/>
      <c r="B179" s="4"/>
      <c r="C179" s="4"/>
      <c r="D179" s="4"/>
      <c r="E179" s="4" t="s">
        <v>260</v>
      </c>
      <c r="F179" s="4"/>
      <c r="G179" s="7">
        <f>ROUND(SUM(G177:G178),5)</f>
        <v>0</v>
      </c>
      <c r="H179" s="6"/>
      <c r="I179" s="7">
        <f>ROUND(SUM(I177:I178),5)</f>
        <v>0</v>
      </c>
      <c r="J179" s="6"/>
      <c r="K179" s="7">
        <f>ROUND(SUM(K177:K178),5)</f>
        <v>0</v>
      </c>
      <c r="L179" s="6"/>
      <c r="M179" s="7">
        <f>ROUND(SUM(M177:M178),5)</f>
        <v>0</v>
      </c>
      <c r="N179" s="6"/>
      <c r="O179" s="7">
        <f>ROUND(SUM(O177:O178),5)</f>
        <v>0</v>
      </c>
      <c r="P179" s="6"/>
      <c r="Q179" s="7">
        <f>ROUND(SUM(Q177:Q178),5)</f>
        <v>0</v>
      </c>
      <c r="R179" s="6"/>
      <c r="S179" s="7">
        <f>ROUND(SUM(S177:S178),5)</f>
        <v>0</v>
      </c>
      <c r="T179" s="6"/>
      <c r="U179" s="7">
        <f>ROUND(SUM(U177:U178),5)</f>
        <v>0</v>
      </c>
      <c r="V179" s="6"/>
      <c r="W179" s="7">
        <f>ROUND(SUM(W177:W178),5)</f>
        <v>0</v>
      </c>
      <c r="X179" s="6"/>
      <c r="Y179" s="7">
        <f>ROUND(SUM(Y177:Y178),5)</f>
        <v>0</v>
      </c>
      <c r="Z179" s="6"/>
      <c r="AA179" s="7">
        <f>ROUND(SUM(AA177:AA178),5)</f>
        <v>0</v>
      </c>
      <c r="AB179" s="6"/>
      <c r="AC179" s="7">
        <f>ROUND(SUM(AC177:AC178),5)</f>
        <v>0</v>
      </c>
      <c r="AD179" s="6"/>
      <c r="AE179" s="7">
        <f>ROUND(SUM(AE177:AE178),5)</f>
        <v>0</v>
      </c>
      <c r="AF179" s="6"/>
      <c r="AG179" s="7">
        <f>ROUND(SUM(AG177:AG178),5)</f>
        <v>9990</v>
      </c>
      <c r="AH179" s="6"/>
      <c r="AI179" s="7">
        <f>ROUND(SUM(AI177:AI178),5)</f>
        <v>0</v>
      </c>
      <c r="AJ179" s="6"/>
      <c r="AK179" s="7">
        <f>ROUND(SUM(AK177:AK178),5)</f>
        <v>0</v>
      </c>
      <c r="AL179" s="6"/>
      <c r="AM179" s="7">
        <f>ROUND(SUM(AM177:AM178),5)</f>
        <v>0</v>
      </c>
      <c r="AN179" s="6"/>
      <c r="AO179" s="7">
        <f>ROUND(SUM(AO177:AO178),5)</f>
        <v>0</v>
      </c>
      <c r="AP179" s="6"/>
      <c r="AQ179" s="7">
        <f>ROUND(SUM(AQ177:AQ178),5)</f>
        <v>0</v>
      </c>
      <c r="AR179" s="6"/>
      <c r="AS179" s="7">
        <f>ROUND(SUM(AS177:AS178),5)</f>
        <v>0</v>
      </c>
      <c r="AT179" s="6"/>
      <c r="AU179" s="7">
        <f>ROUND(SUM(AU177:AU178),5)</f>
        <v>0</v>
      </c>
      <c r="AV179" s="6"/>
      <c r="AW179" s="7">
        <f>ROUND(SUM(AW177:AW178),5)</f>
        <v>0</v>
      </c>
      <c r="AX179" s="6"/>
      <c r="AY179" s="7">
        <f>ROUND(SUM(AY177:AY178),5)</f>
        <v>0</v>
      </c>
      <c r="AZ179" s="6"/>
      <c r="BA179" s="7">
        <f>ROUND(SUM(BA177:BA178),5)</f>
        <v>0</v>
      </c>
      <c r="BB179" s="6"/>
      <c r="BC179" s="7">
        <f>ROUND(SUM(BC177:BC178),5)</f>
        <v>0</v>
      </c>
      <c r="BD179" s="6"/>
      <c r="BE179" s="7">
        <f>ROUND(SUM(BE177:BE178),5)</f>
        <v>0</v>
      </c>
      <c r="BF179" s="6"/>
      <c r="BG179" s="7">
        <f>ROUND(SUM(BG177:BG178),5)</f>
        <v>0</v>
      </c>
      <c r="BH179" s="6"/>
      <c r="BI179" s="7">
        <f>ROUND(SUM(BI177:BI178),5)</f>
        <v>0</v>
      </c>
      <c r="BJ179" s="6"/>
      <c r="BK179" s="7">
        <f>ROUND(SUM(BK177:BK178),5)</f>
        <v>0</v>
      </c>
      <c r="BL179" s="6"/>
      <c r="BM179" s="7">
        <f>ROUND(SUM(BM177:BM178),5)</f>
        <v>0</v>
      </c>
      <c r="BN179" s="6"/>
      <c r="BO179" s="7">
        <f>ROUND(SUM(BO177:BO178),5)</f>
        <v>0</v>
      </c>
      <c r="BP179" s="6"/>
      <c r="BQ179" s="7">
        <f>ROUND(SUM(G179:BO179),5)</f>
        <v>9990</v>
      </c>
    </row>
    <row r="180" spans="1:69">
      <c r="A180" s="4"/>
      <c r="B180" s="4"/>
      <c r="C180" s="4"/>
      <c r="D180" s="4"/>
      <c r="E180" s="4" t="s">
        <v>261</v>
      </c>
      <c r="F180" s="4"/>
      <c r="G180" s="7"/>
      <c r="H180" s="6"/>
      <c r="I180" s="7"/>
      <c r="J180" s="6"/>
      <c r="K180" s="7"/>
      <c r="L180" s="6"/>
      <c r="M180" s="7"/>
      <c r="N180" s="6"/>
      <c r="O180" s="7"/>
      <c r="P180" s="6"/>
      <c r="Q180" s="7"/>
      <c r="R180" s="6"/>
      <c r="S180" s="7"/>
      <c r="T180" s="6"/>
      <c r="U180" s="7"/>
      <c r="V180" s="6"/>
      <c r="W180" s="7"/>
      <c r="X180" s="6"/>
      <c r="Y180" s="7"/>
      <c r="Z180" s="6"/>
      <c r="AA180" s="7"/>
      <c r="AB180" s="6"/>
      <c r="AC180" s="7"/>
      <c r="AD180" s="6"/>
      <c r="AE180" s="7"/>
      <c r="AF180" s="6"/>
      <c r="AG180" s="7"/>
      <c r="AH180" s="6"/>
      <c r="AI180" s="7"/>
      <c r="AJ180" s="6"/>
      <c r="AK180" s="7"/>
      <c r="AL180" s="6"/>
      <c r="AM180" s="7"/>
      <c r="AN180" s="6"/>
      <c r="AO180" s="7"/>
      <c r="AP180" s="6"/>
      <c r="AQ180" s="7"/>
      <c r="AR180" s="6"/>
      <c r="AS180" s="7"/>
      <c r="AT180" s="6"/>
      <c r="AU180" s="7"/>
      <c r="AV180" s="6"/>
      <c r="AW180" s="7"/>
      <c r="AX180" s="6"/>
      <c r="AY180" s="7"/>
      <c r="AZ180" s="6"/>
      <c r="BA180" s="7"/>
      <c r="BB180" s="6"/>
      <c r="BC180" s="7"/>
      <c r="BD180" s="6"/>
      <c r="BE180" s="7"/>
      <c r="BF180" s="6"/>
      <c r="BG180" s="7"/>
      <c r="BH180" s="6"/>
      <c r="BI180" s="7"/>
      <c r="BJ180" s="6"/>
      <c r="BK180" s="7"/>
      <c r="BL180" s="6"/>
      <c r="BM180" s="7"/>
      <c r="BN180" s="6"/>
      <c r="BO180" s="7"/>
      <c r="BP180" s="6"/>
      <c r="BQ180" s="7"/>
    </row>
    <row r="181" spans="1:69">
      <c r="A181" s="4"/>
      <c r="B181" s="4"/>
      <c r="C181" s="4"/>
      <c r="D181" s="4"/>
      <c r="E181" s="4"/>
      <c r="F181" s="4" t="s">
        <v>262</v>
      </c>
      <c r="G181" s="7">
        <v>0</v>
      </c>
      <c r="H181" s="6"/>
      <c r="I181" s="7">
        <v>0</v>
      </c>
      <c r="J181" s="6"/>
      <c r="K181" s="7">
        <v>0</v>
      </c>
      <c r="L181" s="6"/>
      <c r="M181" s="7">
        <v>0</v>
      </c>
      <c r="N181" s="6"/>
      <c r="O181" s="7">
        <v>0</v>
      </c>
      <c r="P181" s="6"/>
      <c r="Q181" s="7">
        <v>0</v>
      </c>
      <c r="R181" s="6"/>
      <c r="S181" s="7">
        <v>0</v>
      </c>
      <c r="T181" s="6"/>
      <c r="U181" s="7">
        <v>0</v>
      </c>
      <c r="V181" s="6"/>
      <c r="W181" s="7">
        <v>0</v>
      </c>
      <c r="X181" s="6"/>
      <c r="Y181" s="7">
        <v>0</v>
      </c>
      <c r="Z181" s="6"/>
      <c r="AA181" s="7">
        <v>0</v>
      </c>
      <c r="AB181" s="6"/>
      <c r="AC181" s="7">
        <v>0</v>
      </c>
      <c r="AD181" s="6"/>
      <c r="AE181" s="7">
        <v>0</v>
      </c>
      <c r="AF181" s="6"/>
      <c r="AG181" s="7">
        <v>527.5</v>
      </c>
      <c r="AH181" s="6"/>
      <c r="AI181" s="7">
        <v>0</v>
      </c>
      <c r="AJ181" s="6"/>
      <c r="AK181" s="7">
        <v>0</v>
      </c>
      <c r="AL181" s="6"/>
      <c r="AM181" s="7">
        <v>0</v>
      </c>
      <c r="AN181" s="6"/>
      <c r="AO181" s="7">
        <v>0</v>
      </c>
      <c r="AP181" s="6"/>
      <c r="AQ181" s="7">
        <v>0</v>
      </c>
      <c r="AR181" s="6"/>
      <c r="AS181" s="7">
        <v>0</v>
      </c>
      <c r="AT181" s="6"/>
      <c r="AU181" s="7">
        <v>0</v>
      </c>
      <c r="AV181" s="6"/>
      <c r="AW181" s="7">
        <v>0</v>
      </c>
      <c r="AX181" s="6"/>
      <c r="AY181" s="7">
        <v>0</v>
      </c>
      <c r="AZ181" s="6"/>
      <c r="BA181" s="7">
        <v>0</v>
      </c>
      <c r="BB181" s="6"/>
      <c r="BC181" s="7">
        <v>0</v>
      </c>
      <c r="BD181" s="6"/>
      <c r="BE181" s="7">
        <v>0</v>
      </c>
      <c r="BF181" s="6"/>
      <c r="BG181" s="7">
        <v>0</v>
      </c>
      <c r="BH181" s="6"/>
      <c r="BI181" s="7">
        <v>0</v>
      </c>
      <c r="BJ181" s="6"/>
      <c r="BK181" s="7">
        <v>0</v>
      </c>
      <c r="BL181" s="6"/>
      <c r="BM181" s="7">
        <v>0</v>
      </c>
      <c r="BN181" s="6"/>
      <c r="BO181" s="7">
        <v>0</v>
      </c>
      <c r="BP181" s="6"/>
      <c r="BQ181" s="7">
        <f>ROUND(SUM(G181:BO181),5)</f>
        <v>527.5</v>
      </c>
    </row>
    <row r="182" spans="1:69" ht="15.75" thickBot="1">
      <c r="A182" s="4"/>
      <c r="B182" s="4"/>
      <c r="C182" s="4"/>
      <c r="D182" s="4"/>
      <c r="E182" s="4"/>
      <c r="F182" s="4" t="s">
        <v>263</v>
      </c>
      <c r="G182" s="9">
        <v>0</v>
      </c>
      <c r="H182" s="6"/>
      <c r="I182" s="9">
        <v>0</v>
      </c>
      <c r="J182" s="6"/>
      <c r="K182" s="9">
        <v>0</v>
      </c>
      <c r="L182" s="6"/>
      <c r="M182" s="9">
        <v>0</v>
      </c>
      <c r="N182" s="6"/>
      <c r="O182" s="9">
        <v>0</v>
      </c>
      <c r="P182" s="6"/>
      <c r="Q182" s="9">
        <v>0</v>
      </c>
      <c r="R182" s="6"/>
      <c r="S182" s="9">
        <v>0</v>
      </c>
      <c r="T182" s="6"/>
      <c r="U182" s="9">
        <v>0</v>
      </c>
      <c r="V182" s="6"/>
      <c r="W182" s="9">
        <v>0</v>
      </c>
      <c r="X182" s="6"/>
      <c r="Y182" s="9">
        <v>0</v>
      </c>
      <c r="Z182" s="6"/>
      <c r="AA182" s="9">
        <v>0</v>
      </c>
      <c r="AB182" s="6"/>
      <c r="AC182" s="9">
        <v>0</v>
      </c>
      <c r="AD182" s="6"/>
      <c r="AE182" s="9">
        <v>0</v>
      </c>
      <c r="AF182" s="6"/>
      <c r="AG182" s="9">
        <v>147</v>
      </c>
      <c r="AH182" s="6"/>
      <c r="AI182" s="9">
        <v>0</v>
      </c>
      <c r="AJ182" s="6"/>
      <c r="AK182" s="9">
        <v>0</v>
      </c>
      <c r="AL182" s="6"/>
      <c r="AM182" s="9">
        <v>0</v>
      </c>
      <c r="AN182" s="6"/>
      <c r="AO182" s="9">
        <v>0</v>
      </c>
      <c r="AP182" s="6"/>
      <c r="AQ182" s="9">
        <v>0</v>
      </c>
      <c r="AR182" s="6"/>
      <c r="AS182" s="9">
        <v>0</v>
      </c>
      <c r="AT182" s="6"/>
      <c r="AU182" s="9">
        <v>0</v>
      </c>
      <c r="AV182" s="6"/>
      <c r="AW182" s="9">
        <v>0</v>
      </c>
      <c r="AX182" s="6"/>
      <c r="AY182" s="9">
        <v>0</v>
      </c>
      <c r="AZ182" s="6"/>
      <c r="BA182" s="9">
        <v>0</v>
      </c>
      <c r="BB182" s="6"/>
      <c r="BC182" s="9">
        <v>0</v>
      </c>
      <c r="BD182" s="6"/>
      <c r="BE182" s="9">
        <v>0</v>
      </c>
      <c r="BF182" s="6"/>
      <c r="BG182" s="9">
        <v>0</v>
      </c>
      <c r="BH182" s="6"/>
      <c r="BI182" s="9">
        <v>0</v>
      </c>
      <c r="BJ182" s="6"/>
      <c r="BK182" s="9">
        <v>0</v>
      </c>
      <c r="BL182" s="6"/>
      <c r="BM182" s="9">
        <v>0</v>
      </c>
      <c r="BN182" s="6"/>
      <c r="BO182" s="9">
        <v>0</v>
      </c>
      <c r="BP182" s="6"/>
      <c r="BQ182" s="9">
        <f>ROUND(SUM(G182:BO182),5)</f>
        <v>147</v>
      </c>
    </row>
    <row r="183" spans="1:69">
      <c r="A183" s="4"/>
      <c r="B183" s="4"/>
      <c r="C183" s="4"/>
      <c r="D183" s="4"/>
      <c r="E183" s="4" t="s">
        <v>264</v>
      </c>
      <c r="F183" s="4"/>
      <c r="G183" s="7">
        <f>ROUND(SUM(G180:G182),5)</f>
        <v>0</v>
      </c>
      <c r="H183" s="6"/>
      <c r="I183" s="7">
        <f>ROUND(SUM(I180:I182),5)</f>
        <v>0</v>
      </c>
      <c r="J183" s="6"/>
      <c r="K183" s="7">
        <f>ROUND(SUM(K180:K182),5)</f>
        <v>0</v>
      </c>
      <c r="L183" s="6"/>
      <c r="M183" s="7">
        <f>ROUND(SUM(M180:M182),5)</f>
        <v>0</v>
      </c>
      <c r="N183" s="6"/>
      <c r="O183" s="7">
        <f>ROUND(SUM(O180:O182),5)</f>
        <v>0</v>
      </c>
      <c r="P183" s="6"/>
      <c r="Q183" s="7">
        <f>ROUND(SUM(Q180:Q182),5)</f>
        <v>0</v>
      </c>
      <c r="R183" s="6"/>
      <c r="S183" s="7">
        <f>ROUND(SUM(S180:S182),5)</f>
        <v>0</v>
      </c>
      <c r="T183" s="6"/>
      <c r="U183" s="7">
        <f>ROUND(SUM(U180:U182),5)</f>
        <v>0</v>
      </c>
      <c r="V183" s="6"/>
      <c r="W183" s="7">
        <f>ROUND(SUM(W180:W182),5)</f>
        <v>0</v>
      </c>
      <c r="X183" s="6"/>
      <c r="Y183" s="7">
        <f>ROUND(SUM(Y180:Y182),5)</f>
        <v>0</v>
      </c>
      <c r="Z183" s="6"/>
      <c r="AA183" s="7">
        <f>ROUND(SUM(AA180:AA182),5)</f>
        <v>0</v>
      </c>
      <c r="AB183" s="6"/>
      <c r="AC183" s="7">
        <f>ROUND(SUM(AC180:AC182),5)</f>
        <v>0</v>
      </c>
      <c r="AD183" s="6"/>
      <c r="AE183" s="7">
        <f>ROUND(SUM(AE180:AE182),5)</f>
        <v>0</v>
      </c>
      <c r="AF183" s="6"/>
      <c r="AG183" s="7">
        <f>ROUND(SUM(AG180:AG182),5)</f>
        <v>674.5</v>
      </c>
      <c r="AH183" s="6"/>
      <c r="AI183" s="7">
        <f>ROUND(SUM(AI180:AI182),5)</f>
        <v>0</v>
      </c>
      <c r="AJ183" s="6"/>
      <c r="AK183" s="7">
        <f>ROUND(SUM(AK180:AK182),5)</f>
        <v>0</v>
      </c>
      <c r="AL183" s="6"/>
      <c r="AM183" s="7">
        <f>ROUND(SUM(AM180:AM182),5)</f>
        <v>0</v>
      </c>
      <c r="AN183" s="6"/>
      <c r="AO183" s="7">
        <f>ROUND(SUM(AO180:AO182),5)</f>
        <v>0</v>
      </c>
      <c r="AP183" s="6"/>
      <c r="AQ183" s="7">
        <f>ROUND(SUM(AQ180:AQ182),5)</f>
        <v>0</v>
      </c>
      <c r="AR183" s="6"/>
      <c r="AS183" s="7">
        <f>ROUND(SUM(AS180:AS182),5)</f>
        <v>0</v>
      </c>
      <c r="AT183" s="6"/>
      <c r="AU183" s="7">
        <f>ROUND(SUM(AU180:AU182),5)</f>
        <v>0</v>
      </c>
      <c r="AV183" s="6"/>
      <c r="AW183" s="7">
        <f>ROUND(SUM(AW180:AW182),5)</f>
        <v>0</v>
      </c>
      <c r="AX183" s="6"/>
      <c r="AY183" s="7">
        <f>ROUND(SUM(AY180:AY182),5)</f>
        <v>0</v>
      </c>
      <c r="AZ183" s="6"/>
      <c r="BA183" s="7">
        <f>ROUND(SUM(BA180:BA182),5)</f>
        <v>0</v>
      </c>
      <c r="BB183" s="6"/>
      <c r="BC183" s="7">
        <f>ROUND(SUM(BC180:BC182),5)</f>
        <v>0</v>
      </c>
      <c r="BD183" s="6"/>
      <c r="BE183" s="7">
        <f>ROUND(SUM(BE180:BE182),5)</f>
        <v>0</v>
      </c>
      <c r="BF183" s="6"/>
      <c r="BG183" s="7">
        <f>ROUND(SUM(BG180:BG182),5)</f>
        <v>0</v>
      </c>
      <c r="BH183" s="6"/>
      <c r="BI183" s="7">
        <f>ROUND(SUM(BI180:BI182),5)</f>
        <v>0</v>
      </c>
      <c r="BJ183" s="6"/>
      <c r="BK183" s="7">
        <f>ROUND(SUM(BK180:BK182),5)</f>
        <v>0</v>
      </c>
      <c r="BL183" s="6"/>
      <c r="BM183" s="7">
        <f>ROUND(SUM(BM180:BM182),5)</f>
        <v>0</v>
      </c>
      <c r="BN183" s="6"/>
      <c r="BO183" s="7">
        <f>ROUND(SUM(BO180:BO182),5)</f>
        <v>0</v>
      </c>
      <c r="BP183" s="6"/>
      <c r="BQ183" s="7">
        <f>ROUND(SUM(G183:BO183),5)</f>
        <v>674.5</v>
      </c>
    </row>
    <row r="184" spans="1:69">
      <c r="A184" s="4"/>
      <c r="B184" s="4"/>
      <c r="C184" s="4"/>
      <c r="D184" s="4"/>
      <c r="E184" s="4" t="s">
        <v>265</v>
      </c>
      <c r="F184" s="4"/>
      <c r="G184" s="7"/>
      <c r="H184" s="6"/>
      <c r="I184" s="7"/>
      <c r="J184" s="6"/>
      <c r="K184" s="7"/>
      <c r="L184" s="6"/>
      <c r="M184" s="7"/>
      <c r="N184" s="6"/>
      <c r="O184" s="7"/>
      <c r="P184" s="6"/>
      <c r="Q184" s="7"/>
      <c r="R184" s="6"/>
      <c r="S184" s="7"/>
      <c r="T184" s="6"/>
      <c r="U184" s="7"/>
      <c r="V184" s="6"/>
      <c r="W184" s="7"/>
      <c r="X184" s="6"/>
      <c r="Y184" s="7"/>
      <c r="Z184" s="6"/>
      <c r="AA184" s="7"/>
      <c r="AB184" s="6"/>
      <c r="AC184" s="7"/>
      <c r="AD184" s="6"/>
      <c r="AE184" s="7"/>
      <c r="AF184" s="6"/>
      <c r="AG184" s="7"/>
      <c r="AH184" s="6"/>
      <c r="AI184" s="7"/>
      <c r="AJ184" s="6"/>
      <c r="AK184" s="7"/>
      <c r="AL184" s="6"/>
      <c r="AM184" s="7"/>
      <c r="AN184" s="6"/>
      <c r="AO184" s="7"/>
      <c r="AP184" s="6"/>
      <c r="AQ184" s="7"/>
      <c r="AR184" s="6"/>
      <c r="AS184" s="7"/>
      <c r="AT184" s="6"/>
      <c r="AU184" s="7"/>
      <c r="AV184" s="6"/>
      <c r="AW184" s="7"/>
      <c r="AX184" s="6"/>
      <c r="AY184" s="7"/>
      <c r="AZ184" s="6"/>
      <c r="BA184" s="7"/>
      <c r="BB184" s="6"/>
      <c r="BC184" s="7"/>
      <c r="BD184" s="6"/>
      <c r="BE184" s="7"/>
      <c r="BF184" s="6"/>
      <c r="BG184" s="7"/>
      <c r="BH184" s="6"/>
      <c r="BI184" s="7"/>
      <c r="BJ184" s="6"/>
      <c r="BK184" s="7"/>
      <c r="BL184" s="6"/>
      <c r="BM184" s="7"/>
      <c r="BN184" s="6"/>
      <c r="BO184" s="7"/>
      <c r="BP184" s="6"/>
      <c r="BQ184" s="7"/>
    </row>
    <row r="185" spans="1:69" ht="15.75" thickBot="1">
      <c r="A185" s="4"/>
      <c r="B185" s="4"/>
      <c r="C185" s="4"/>
      <c r="D185" s="4"/>
      <c r="E185" s="4"/>
      <c r="F185" s="4" t="s">
        <v>266</v>
      </c>
      <c r="G185" s="9">
        <v>0</v>
      </c>
      <c r="H185" s="6"/>
      <c r="I185" s="9">
        <v>0</v>
      </c>
      <c r="J185" s="6"/>
      <c r="K185" s="9">
        <v>0</v>
      </c>
      <c r="L185" s="6"/>
      <c r="M185" s="9">
        <v>0</v>
      </c>
      <c r="N185" s="6"/>
      <c r="O185" s="9">
        <v>0</v>
      </c>
      <c r="P185" s="6"/>
      <c r="Q185" s="9">
        <v>0</v>
      </c>
      <c r="R185" s="6"/>
      <c r="S185" s="9">
        <v>0</v>
      </c>
      <c r="T185" s="6"/>
      <c r="U185" s="9">
        <v>0</v>
      </c>
      <c r="V185" s="6"/>
      <c r="W185" s="9">
        <v>0</v>
      </c>
      <c r="X185" s="6"/>
      <c r="Y185" s="9">
        <v>0</v>
      </c>
      <c r="Z185" s="6"/>
      <c r="AA185" s="9">
        <v>0</v>
      </c>
      <c r="AB185" s="6"/>
      <c r="AC185" s="9">
        <v>0</v>
      </c>
      <c r="AD185" s="6"/>
      <c r="AE185" s="9">
        <v>0</v>
      </c>
      <c r="AF185" s="6"/>
      <c r="AG185" s="9">
        <v>66510.97</v>
      </c>
      <c r="AH185" s="6"/>
      <c r="AI185" s="9">
        <v>0</v>
      </c>
      <c r="AJ185" s="6"/>
      <c r="AK185" s="9">
        <v>0</v>
      </c>
      <c r="AL185" s="6"/>
      <c r="AM185" s="9">
        <v>0</v>
      </c>
      <c r="AN185" s="6"/>
      <c r="AO185" s="9">
        <v>0</v>
      </c>
      <c r="AP185" s="6"/>
      <c r="AQ185" s="9">
        <v>0</v>
      </c>
      <c r="AR185" s="6"/>
      <c r="AS185" s="9">
        <v>0</v>
      </c>
      <c r="AT185" s="6"/>
      <c r="AU185" s="9">
        <v>0</v>
      </c>
      <c r="AV185" s="6"/>
      <c r="AW185" s="9">
        <v>0</v>
      </c>
      <c r="AX185" s="6"/>
      <c r="AY185" s="9">
        <v>0</v>
      </c>
      <c r="AZ185" s="6"/>
      <c r="BA185" s="9">
        <v>0</v>
      </c>
      <c r="BB185" s="6"/>
      <c r="BC185" s="9">
        <v>0</v>
      </c>
      <c r="BD185" s="6"/>
      <c r="BE185" s="9">
        <v>0</v>
      </c>
      <c r="BF185" s="6"/>
      <c r="BG185" s="9">
        <v>0</v>
      </c>
      <c r="BH185" s="6"/>
      <c r="BI185" s="9">
        <v>0</v>
      </c>
      <c r="BJ185" s="6"/>
      <c r="BK185" s="9">
        <v>0</v>
      </c>
      <c r="BL185" s="6"/>
      <c r="BM185" s="9">
        <v>0</v>
      </c>
      <c r="BN185" s="6"/>
      <c r="BO185" s="9">
        <v>0</v>
      </c>
      <c r="BP185" s="6"/>
      <c r="BQ185" s="9">
        <f>ROUND(SUM(G185:BO185),5)</f>
        <v>66510.97</v>
      </c>
    </row>
    <row r="186" spans="1:69">
      <c r="A186" s="4"/>
      <c r="B186" s="4"/>
      <c r="C186" s="4"/>
      <c r="D186" s="4"/>
      <c r="E186" s="4" t="s">
        <v>267</v>
      </c>
      <c r="F186" s="4"/>
      <c r="G186" s="7">
        <f>ROUND(SUM(G184:G185),5)</f>
        <v>0</v>
      </c>
      <c r="H186" s="6"/>
      <c r="I186" s="7">
        <f>ROUND(SUM(I184:I185),5)</f>
        <v>0</v>
      </c>
      <c r="J186" s="6"/>
      <c r="K186" s="7">
        <f>ROUND(SUM(K184:K185),5)</f>
        <v>0</v>
      </c>
      <c r="L186" s="6"/>
      <c r="M186" s="7">
        <f>ROUND(SUM(M184:M185),5)</f>
        <v>0</v>
      </c>
      <c r="N186" s="6"/>
      <c r="O186" s="7">
        <f>ROUND(SUM(O184:O185),5)</f>
        <v>0</v>
      </c>
      <c r="P186" s="6"/>
      <c r="Q186" s="7">
        <f>ROUND(SUM(Q184:Q185),5)</f>
        <v>0</v>
      </c>
      <c r="R186" s="6"/>
      <c r="S186" s="7">
        <f>ROUND(SUM(S184:S185),5)</f>
        <v>0</v>
      </c>
      <c r="T186" s="6"/>
      <c r="U186" s="7">
        <f>ROUND(SUM(U184:U185),5)</f>
        <v>0</v>
      </c>
      <c r="V186" s="6"/>
      <c r="W186" s="7">
        <f>ROUND(SUM(W184:W185),5)</f>
        <v>0</v>
      </c>
      <c r="X186" s="6"/>
      <c r="Y186" s="7">
        <f>ROUND(SUM(Y184:Y185),5)</f>
        <v>0</v>
      </c>
      <c r="Z186" s="6"/>
      <c r="AA186" s="7">
        <f>ROUND(SUM(AA184:AA185),5)</f>
        <v>0</v>
      </c>
      <c r="AB186" s="6"/>
      <c r="AC186" s="7">
        <f>ROUND(SUM(AC184:AC185),5)</f>
        <v>0</v>
      </c>
      <c r="AD186" s="6"/>
      <c r="AE186" s="7">
        <f>ROUND(SUM(AE184:AE185),5)</f>
        <v>0</v>
      </c>
      <c r="AF186" s="6"/>
      <c r="AG186" s="7">
        <f>ROUND(SUM(AG184:AG185),5)</f>
        <v>66510.97</v>
      </c>
      <c r="AH186" s="6"/>
      <c r="AI186" s="7">
        <f>ROUND(SUM(AI184:AI185),5)</f>
        <v>0</v>
      </c>
      <c r="AJ186" s="6"/>
      <c r="AK186" s="7">
        <f>ROUND(SUM(AK184:AK185),5)</f>
        <v>0</v>
      </c>
      <c r="AL186" s="6"/>
      <c r="AM186" s="7">
        <f>ROUND(SUM(AM184:AM185),5)</f>
        <v>0</v>
      </c>
      <c r="AN186" s="6"/>
      <c r="AO186" s="7">
        <f>ROUND(SUM(AO184:AO185),5)</f>
        <v>0</v>
      </c>
      <c r="AP186" s="6"/>
      <c r="AQ186" s="7">
        <f>ROUND(SUM(AQ184:AQ185),5)</f>
        <v>0</v>
      </c>
      <c r="AR186" s="6"/>
      <c r="AS186" s="7">
        <f>ROUND(SUM(AS184:AS185),5)</f>
        <v>0</v>
      </c>
      <c r="AT186" s="6"/>
      <c r="AU186" s="7">
        <f>ROUND(SUM(AU184:AU185),5)</f>
        <v>0</v>
      </c>
      <c r="AV186" s="6"/>
      <c r="AW186" s="7">
        <f>ROUND(SUM(AW184:AW185),5)</f>
        <v>0</v>
      </c>
      <c r="AX186" s="6"/>
      <c r="AY186" s="7">
        <f>ROUND(SUM(AY184:AY185),5)</f>
        <v>0</v>
      </c>
      <c r="AZ186" s="6"/>
      <c r="BA186" s="7">
        <f>ROUND(SUM(BA184:BA185),5)</f>
        <v>0</v>
      </c>
      <c r="BB186" s="6"/>
      <c r="BC186" s="7">
        <f>ROUND(SUM(BC184:BC185),5)</f>
        <v>0</v>
      </c>
      <c r="BD186" s="6"/>
      <c r="BE186" s="7">
        <f>ROUND(SUM(BE184:BE185),5)</f>
        <v>0</v>
      </c>
      <c r="BF186" s="6"/>
      <c r="BG186" s="7">
        <f>ROUND(SUM(BG184:BG185),5)</f>
        <v>0</v>
      </c>
      <c r="BH186" s="6"/>
      <c r="BI186" s="7">
        <f>ROUND(SUM(BI184:BI185),5)</f>
        <v>0</v>
      </c>
      <c r="BJ186" s="6"/>
      <c r="BK186" s="7">
        <f>ROUND(SUM(BK184:BK185),5)</f>
        <v>0</v>
      </c>
      <c r="BL186" s="6"/>
      <c r="BM186" s="7">
        <f>ROUND(SUM(BM184:BM185),5)</f>
        <v>0</v>
      </c>
      <c r="BN186" s="6"/>
      <c r="BO186" s="7">
        <f>ROUND(SUM(BO184:BO185),5)</f>
        <v>0</v>
      </c>
      <c r="BP186" s="6"/>
      <c r="BQ186" s="7">
        <f>ROUND(SUM(G186:BO186),5)</f>
        <v>66510.97</v>
      </c>
    </row>
    <row r="187" spans="1:69">
      <c r="A187" s="4"/>
      <c r="B187" s="4"/>
      <c r="C187" s="4"/>
      <c r="D187" s="4"/>
      <c r="E187" s="4" t="s">
        <v>268</v>
      </c>
      <c r="F187" s="4"/>
      <c r="G187" s="7"/>
      <c r="H187" s="6"/>
      <c r="I187" s="7"/>
      <c r="J187" s="6"/>
      <c r="K187" s="7"/>
      <c r="L187" s="6"/>
      <c r="M187" s="7"/>
      <c r="N187" s="6"/>
      <c r="O187" s="7"/>
      <c r="P187" s="6"/>
      <c r="Q187" s="7"/>
      <c r="R187" s="6"/>
      <c r="S187" s="7"/>
      <c r="T187" s="6"/>
      <c r="U187" s="7"/>
      <c r="V187" s="6"/>
      <c r="W187" s="7"/>
      <c r="X187" s="6"/>
      <c r="Y187" s="7"/>
      <c r="Z187" s="6"/>
      <c r="AA187" s="7"/>
      <c r="AB187" s="6"/>
      <c r="AC187" s="7"/>
      <c r="AD187" s="6"/>
      <c r="AE187" s="7"/>
      <c r="AF187" s="6"/>
      <c r="AG187" s="7"/>
      <c r="AH187" s="6"/>
      <c r="AI187" s="7"/>
      <c r="AJ187" s="6"/>
      <c r="AK187" s="7"/>
      <c r="AL187" s="6"/>
      <c r="AM187" s="7"/>
      <c r="AN187" s="6"/>
      <c r="AO187" s="7"/>
      <c r="AP187" s="6"/>
      <c r="AQ187" s="7"/>
      <c r="AR187" s="6"/>
      <c r="AS187" s="7"/>
      <c r="AT187" s="6"/>
      <c r="AU187" s="7"/>
      <c r="AV187" s="6"/>
      <c r="AW187" s="7"/>
      <c r="AX187" s="6"/>
      <c r="AY187" s="7"/>
      <c r="AZ187" s="6"/>
      <c r="BA187" s="7"/>
      <c r="BB187" s="6"/>
      <c r="BC187" s="7"/>
      <c r="BD187" s="6"/>
      <c r="BE187" s="7"/>
      <c r="BF187" s="6"/>
      <c r="BG187" s="7"/>
      <c r="BH187" s="6"/>
      <c r="BI187" s="7"/>
      <c r="BJ187" s="6"/>
      <c r="BK187" s="7"/>
      <c r="BL187" s="6"/>
      <c r="BM187" s="7"/>
      <c r="BN187" s="6"/>
      <c r="BO187" s="7"/>
      <c r="BP187" s="6"/>
      <c r="BQ187" s="7"/>
    </row>
    <row r="188" spans="1:69">
      <c r="A188" s="4"/>
      <c r="B188" s="4"/>
      <c r="C188" s="4"/>
      <c r="D188" s="4"/>
      <c r="E188" s="4"/>
      <c r="F188" s="4" t="s">
        <v>269</v>
      </c>
      <c r="G188" s="7">
        <v>0</v>
      </c>
      <c r="H188" s="6"/>
      <c r="I188" s="7">
        <v>0</v>
      </c>
      <c r="J188" s="6"/>
      <c r="K188" s="7">
        <v>0</v>
      </c>
      <c r="L188" s="6"/>
      <c r="M188" s="7">
        <v>0</v>
      </c>
      <c r="N188" s="6"/>
      <c r="O188" s="7">
        <v>0</v>
      </c>
      <c r="P188" s="6"/>
      <c r="Q188" s="7">
        <v>0</v>
      </c>
      <c r="R188" s="6"/>
      <c r="S188" s="7">
        <v>0</v>
      </c>
      <c r="T188" s="6"/>
      <c r="U188" s="7">
        <v>0</v>
      </c>
      <c r="V188" s="6"/>
      <c r="W188" s="7">
        <v>0</v>
      </c>
      <c r="X188" s="6"/>
      <c r="Y188" s="7">
        <v>0</v>
      </c>
      <c r="Z188" s="6"/>
      <c r="AA188" s="7">
        <v>0</v>
      </c>
      <c r="AB188" s="6"/>
      <c r="AC188" s="7">
        <v>0</v>
      </c>
      <c r="AD188" s="6"/>
      <c r="AE188" s="7">
        <v>0</v>
      </c>
      <c r="AF188" s="6"/>
      <c r="AG188" s="7">
        <v>13405</v>
      </c>
      <c r="AH188" s="6"/>
      <c r="AI188" s="7">
        <v>2500</v>
      </c>
      <c r="AJ188" s="6"/>
      <c r="AK188" s="7">
        <v>0</v>
      </c>
      <c r="AL188" s="6"/>
      <c r="AM188" s="7">
        <v>0</v>
      </c>
      <c r="AN188" s="6"/>
      <c r="AO188" s="7">
        <v>0</v>
      </c>
      <c r="AP188" s="6"/>
      <c r="AQ188" s="7">
        <v>0</v>
      </c>
      <c r="AR188" s="6"/>
      <c r="AS188" s="7">
        <v>0</v>
      </c>
      <c r="AT188" s="6"/>
      <c r="AU188" s="7">
        <v>0</v>
      </c>
      <c r="AV188" s="6"/>
      <c r="AW188" s="7">
        <v>0</v>
      </c>
      <c r="AX188" s="6"/>
      <c r="AY188" s="7">
        <v>0</v>
      </c>
      <c r="AZ188" s="6"/>
      <c r="BA188" s="7">
        <v>0</v>
      </c>
      <c r="BB188" s="6"/>
      <c r="BC188" s="7">
        <v>0</v>
      </c>
      <c r="BD188" s="6"/>
      <c r="BE188" s="7">
        <v>0</v>
      </c>
      <c r="BF188" s="6"/>
      <c r="BG188" s="7">
        <v>0</v>
      </c>
      <c r="BH188" s="6"/>
      <c r="BI188" s="7">
        <v>0</v>
      </c>
      <c r="BJ188" s="6"/>
      <c r="BK188" s="7">
        <v>0</v>
      </c>
      <c r="BL188" s="6"/>
      <c r="BM188" s="7">
        <v>0</v>
      </c>
      <c r="BN188" s="6"/>
      <c r="BO188" s="7">
        <v>0</v>
      </c>
      <c r="BP188" s="6"/>
      <c r="BQ188" s="7">
        <f>ROUND(SUM(G188:BO188),5)</f>
        <v>15905</v>
      </c>
    </row>
    <row r="189" spans="1:69">
      <c r="A189" s="4"/>
      <c r="B189" s="4"/>
      <c r="C189" s="4"/>
      <c r="D189" s="4"/>
      <c r="E189" s="4"/>
      <c r="F189" s="4" t="s">
        <v>270</v>
      </c>
      <c r="G189" s="7">
        <v>0</v>
      </c>
      <c r="H189" s="6"/>
      <c r="I189" s="7">
        <v>0</v>
      </c>
      <c r="J189" s="6"/>
      <c r="K189" s="7">
        <v>0</v>
      </c>
      <c r="L189" s="6"/>
      <c r="M189" s="7">
        <v>0</v>
      </c>
      <c r="N189" s="6"/>
      <c r="O189" s="7">
        <v>0</v>
      </c>
      <c r="P189" s="6"/>
      <c r="Q189" s="7">
        <v>0</v>
      </c>
      <c r="R189" s="6"/>
      <c r="S189" s="7">
        <v>0</v>
      </c>
      <c r="T189" s="6"/>
      <c r="U189" s="7">
        <v>0</v>
      </c>
      <c r="V189" s="6"/>
      <c r="W189" s="7">
        <v>0</v>
      </c>
      <c r="X189" s="6"/>
      <c r="Y189" s="7">
        <v>0</v>
      </c>
      <c r="Z189" s="6"/>
      <c r="AA189" s="7">
        <v>0</v>
      </c>
      <c r="AB189" s="6"/>
      <c r="AC189" s="7">
        <v>0</v>
      </c>
      <c r="AD189" s="6"/>
      <c r="AE189" s="7">
        <v>0</v>
      </c>
      <c r="AF189" s="6"/>
      <c r="AG189" s="7">
        <v>1025.49</v>
      </c>
      <c r="AH189" s="6"/>
      <c r="AI189" s="7">
        <v>191.25</v>
      </c>
      <c r="AJ189" s="6"/>
      <c r="AK189" s="7">
        <v>0</v>
      </c>
      <c r="AL189" s="6"/>
      <c r="AM189" s="7">
        <v>0</v>
      </c>
      <c r="AN189" s="6"/>
      <c r="AO189" s="7">
        <v>0</v>
      </c>
      <c r="AP189" s="6"/>
      <c r="AQ189" s="7">
        <v>0</v>
      </c>
      <c r="AR189" s="6"/>
      <c r="AS189" s="7">
        <v>0</v>
      </c>
      <c r="AT189" s="6"/>
      <c r="AU189" s="7">
        <v>0</v>
      </c>
      <c r="AV189" s="6"/>
      <c r="AW189" s="7">
        <v>0</v>
      </c>
      <c r="AX189" s="6"/>
      <c r="AY189" s="7">
        <v>0</v>
      </c>
      <c r="AZ189" s="6"/>
      <c r="BA189" s="7">
        <v>0</v>
      </c>
      <c r="BB189" s="6"/>
      <c r="BC189" s="7">
        <v>0</v>
      </c>
      <c r="BD189" s="6"/>
      <c r="BE189" s="7">
        <v>0</v>
      </c>
      <c r="BF189" s="6"/>
      <c r="BG189" s="7">
        <v>0</v>
      </c>
      <c r="BH189" s="6"/>
      <c r="BI189" s="7">
        <v>0</v>
      </c>
      <c r="BJ189" s="6"/>
      <c r="BK189" s="7">
        <v>0</v>
      </c>
      <c r="BL189" s="6"/>
      <c r="BM189" s="7">
        <v>0</v>
      </c>
      <c r="BN189" s="6"/>
      <c r="BO189" s="7">
        <v>0</v>
      </c>
      <c r="BP189" s="6"/>
      <c r="BQ189" s="7">
        <f>ROUND(SUM(G189:BO189),5)</f>
        <v>1216.74</v>
      </c>
    </row>
    <row r="190" spans="1:69">
      <c r="A190" s="4"/>
      <c r="B190" s="4"/>
      <c r="C190" s="4"/>
      <c r="D190" s="4"/>
      <c r="E190" s="4"/>
      <c r="F190" s="4" t="s">
        <v>271</v>
      </c>
      <c r="G190" s="7">
        <v>0</v>
      </c>
      <c r="H190" s="6"/>
      <c r="I190" s="7">
        <v>0</v>
      </c>
      <c r="J190" s="6"/>
      <c r="K190" s="7">
        <v>0</v>
      </c>
      <c r="L190" s="6"/>
      <c r="M190" s="7">
        <v>0</v>
      </c>
      <c r="N190" s="6"/>
      <c r="O190" s="7">
        <v>0</v>
      </c>
      <c r="P190" s="6"/>
      <c r="Q190" s="7">
        <v>0</v>
      </c>
      <c r="R190" s="6"/>
      <c r="S190" s="7">
        <v>0</v>
      </c>
      <c r="T190" s="6"/>
      <c r="U190" s="7">
        <v>0</v>
      </c>
      <c r="V190" s="6"/>
      <c r="W190" s="7">
        <v>0</v>
      </c>
      <c r="X190" s="6"/>
      <c r="Y190" s="7">
        <v>0</v>
      </c>
      <c r="Z190" s="6"/>
      <c r="AA190" s="7">
        <v>0</v>
      </c>
      <c r="AB190" s="6"/>
      <c r="AC190" s="7">
        <v>0</v>
      </c>
      <c r="AD190" s="6"/>
      <c r="AE190" s="7">
        <v>0</v>
      </c>
      <c r="AF190" s="6"/>
      <c r="AG190" s="7">
        <v>54.75</v>
      </c>
      <c r="AH190" s="6"/>
      <c r="AI190" s="7">
        <v>0</v>
      </c>
      <c r="AJ190" s="6"/>
      <c r="AK190" s="7">
        <v>0</v>
      </c>
      <c r="AL190" s="6"/>
      <c r="AM190" s="7">
        <v>0</v>
      </c>
      <c r="AN190" s="6"/>
      <c r="AO190" s="7">
        <v>0</v>
      </c>
      <c r="AP190" s="6"/>
      <c r="AQ190" s="7">
        <v>0</v>
      </c>
      <c r="AR190" s="6"/>
      <c r="AS190" s="7">
        <v>0</v>
      </c>
      <c r="AT190" s="6"/>
      <c r="AU190" s="7">
        <v>0</v>
      </c>
      <c r="AV190" s="6"/>
      <c r="AW190" s="7">
        <v>0</v>
      </c>
      <c r="AX190" s="6"/>
      <c r="AY190" s="7">
        <v>0</v>
      </c>
      <c r="AZ190" s="6"/>
      <c r="BA190" s="7">
        <v>0</v>
      </c>
      <c r="BB190" s="6"/>
      <c r="BC190" s="7">
        <v>0</v>
      </c>
      <c r="BD190" s="6"/>
      <c r="BE190" s="7">
        <v>0</v>
      </c>
      <c r="BF190" s="6"/>
      <c r="BG190" s="7">
        <v>0</v>
      </c>
      <c r="BH190" s="6"/>
      <c r="BI190" s="7">
        <v>0</v>
      </c>
      <c r="BJ190" s="6"/>
      <c r="BK190" s="7">
        <v>0</v>
      </c>
      <c r="BL190" s="6"/>
      <c r="BM190" s="7">
        <v>0</v>
      </c>
      <c r="BN190" s="6"/>
      <c r="BO190" s="7">
        <v>0</v>
      </c>
      <c r="BP190" s="6"/>
      <c r="BQ190" s="7">
        <f>ROUND(SUM(G190:BO190),5)</f>
        <v>54.75</v>
      </c>
    </row>
    <row r="191" spans="1:69">
      <c r="A191" s="4"/>
      <c r="B191" s="4"/>
      <c r="C191" s="4"/>
      <c r="D191" s="4"/>
      <c r="E191" s="4"/>
      <c r="F191" s="4" t="s">
        <v>272</v>
      </c>
      <c r="G191" s="7">
        <v>0</v>
      </c>
      <c r="H191" s="6"/>
      <c r="I191" s="7">
        <v>0</v>
      </c>
      <c r="J191" s="6"/>
      <c r="K191" s="7">
        <v>0</v>
      </c>
      <c r="L191" s="6"/>
      <c r="M191" s="7">
        <v>0</v>
      </c>
      <c r="N191" s="6"/>
      <c r="O191" s="7">
        <v>0</v>
      </c>
      <c r="P191" s="6"/>
      <c r="Q191" s="7">
        <v>0</v>
      </c>
      <c r="R191" s="6"/>
      <c r="S191" s="7">
        <v>0</v>
      </c>
      <c r="T191" s="6"/>
      <c r="U191" s="7">
        <v>0</v>
      </c>
      <c r="V191" s="6"/>
      <c r="W191" s="7">
        <v>0</v>
      </c>
      <c r="X191" s="6"/>
      <c r="Y191" s="7">
        <v>0</v>
      </c>
      <c r="Z191" s="6"/>
      <c r="AA191" s="7">
        <v>0</v>
      </c>
      <c r="AB191" s="6"/>
      <c r="AC191" s="7">
        <v>0</v>
      </c>
      <c r="AD191" s="6"/>
      <c r="AE191" s="7">
        <v>0</v>
      </c>
      <c r="AF191" s="6"/>
      <c r="AG191" s="7">
        <v>1600</v>
      </c>
      <c r="AH191" s="6"/>
      <c r="AI191" s="7">
        <v>0</v>
      </c>
      <c r="AJ191" s="6"/>
      <c r="AK191" s="7">
        <v>0</v>
      </c>
      <c r="AL191" s="6"/>
      <c r="AM191" s="7">
        <v>0</v>
      </c>
      <c r="AN191" s="6"/>
      <c r="AO191" s="7">
        <v>0</v>
      </c>
      <c r="AP191" s="6"/>
      <c r="AQ191" s="7">
        <v>0</v>
      </c>
      <c r="AR191" s="6"/>
      <c r="AS191" s="7">
        <v>0</v>
      </c>
      <c r="AT191" s="6"/>
      <c r="AU191" s="7">
        <v>0</v>
      </c>
      <c r="AV191" s="6"/>
      <c r="AW191" s="7">
        <v>0</v>
      </c>
      <c r="AX191" s="6"/>
      <c r="AY191" s="7">
        <v>0</v>
      </c>
      <c r="AZ191" s="6"/>
      <c r="BA191" s="7">
        <v>0</v>
      </c>
      <c r="BB191" s="6"/>
      <c r="BC191" s="7">
        <v>0</v>
      </c>
      <c r="BD191" s="6"/>
      <c r="BE191" s="7">
        <v>0</v>
      </c>
      <c r="BF191" s="6"/>
      <c r="BG191" s="7">
        <v>0</v>
      </c>
      <c r="BH191" s="6"/>
      <c r="BI191" s="7">
        <v>0</v>
      </c>
      <c r="BJ191" s="6"/>
      <c r="BK191" s="7">
        <v>0</v>
      </c>
      <c r="BL191" s="6"/>
      <c r="BM191" s="7">
        <v>0</v>
      </c>
      <c r="BN191" s="6"/>
      <c r="BO191" s="7">
        <v>0</v>
      </c>
      <c r="BP191" s="6"/>
      <c r="BQ191" s="7">
        <f>ROUND(SUM(G191:BO191),5)</f>
        <v>1600</v>
      </c>
    </row>
    <row r="192" spans="1:69" ht="15.75" thickBot="1">
      <c r="A192" s="4"/>
      <c r="B192" s="4"/>
      <c r="C192" s="4"/>
      <c r="D192" s="4"/>
      <c r="E192" s="4"/>
      <c r="F192" s="4" t="s">
        <v>273</v>
      </c>
      <c r="G192" s="9">
        <v>0</v>
      </c>
      <c r="H192" s="6"/>
      <c r="I192" s="9">
        <v>0</v>
      </c>
      <c r="J192" s="6"/>
      <c r="K192" s="9">
        <v>0</v>
      </c>
      <c r="L192" s="6"/>
      <c r="M192" s="9">
        <v>0</v>
      </c>
      <c r="N192" s="6"/>
      <c r="O192" s="9">
        <v>0</v>
      </c>
      <c r="P192" s="6"/>
      <c r="Q192" s="9">
        <v>0</v>
      </c>
      <c r="R192" s="6"/>
      <c r="S192" s="9">
        <v>0</v>
      </c>
      <c r="T192" s="6"/>
      <c r="U192" s="9">
        <v>0</v>
      </c>
      <c r="V192" s="6"/>
      <c r="W192" s="9">
        <v>0</v>
      </c>
      <c r="X192" s="6"/>
      <c r="Y192" s="9">
        <v>0</v>
      </c>
      <c r="Z192" s="6"/>
      <c r="AA192" s="9">
        <v>0</v>
      </c>
      <c r="AB192" s="6"/>
      <c r="AC192" s="9">
        <v>0</v>
      </c>
      <c r="AD192" s="6"/>
      <c r="AE192" s="9">
        <v>0</v>
      </c>
      <c r="AF192" s="6"/>
      <c r="AG192" s="9">
        <v>18.27</v>
      </c>
      <c r="AH192" s="6"/>
      <c r="AI192" s="9">
        <v>0</v>
      </c>
      <c r="AJ192" s="6"/>
      <c r="AK192" s="9">
        <v>0</v>
      </c>
      <c r="AL192" s="6"/>
      <c r="AM192" s="9">
        <v>0</v>
      </c>
      <c r="AN192" s="6"/>
      <c r="AO192" s="9">
        <v>0</v>
      </c>
      <c r="AP192" s="6"/>
      <c r="AQ192" s="9">
        <v>0</v>
      </c>
      <c r="AR192" s="6"/>
      <c r="AS192" s="9">
        <v>0</v>
      </c>
      <c r="AT192" s="6"/>
      <c r="AU192" s="9">
        <v>0</v>
      </c>
      <c r="AV192" s="6"/>
      <c r="AW192" s="9">
        <v>0</v>
      </c>
      <c r="AX192" s="6"/>
      <c r="AY192" s="9">
        <v>0</v>
      </c>
      <c r="AZ192" s="6"/>
      <c r="BA192" s="9">
        <v>0</v>
      </c>
      <c r="BB192" s="6"/>
      <c r="BC192" s="9">
        <v>0</v>
      </c>
      <c r="BD192" s="6"/>
      <c r="BE192" s="9">
        <v>0</v>
      </c>
      <c r="BF192" s="6"/>
      <c r="BG192" s="9">
        <v>0</v>
      </c>
      <c r="BH192" s="6"/>
      <c r="BI192" s="9">
        <v>0</v>
      </c>
      <c r="BJ192" s="6"/>
      <c r="BK192" s="9">
        <v>0</v>
      </c>
      <c r="BL192" s="6"/>
      <c r="BM192" s="9">
        <v>0</v>
      </c>
      <c r="BN192" s="6"/>
      <c r="BO192" s="9">
        <v>0</v>
      </c>
      <c r="BP192" s="6"/>
      <c r="BQ192" s="9">
        <f>ROUND(SUM(G192:BO192),5)</f>
        <v>18.27</v>
      </c>
    </row>
    <row r="193" spans="1:69">
      <c r="A193" s="4"/>
      <c r="B193" s="4"/>
      <c r="C193" s="4"/>
      <c r="D193" s="4"/>
      <c r="E193" s="4" t="s">
        <v>274</v>
      </c>
      <c r="F193" s="4"/>
      <c r="G193" s="7">
        <f>ROUND(SUM(G187:G192),5)</f>
        <v>0</v>
      </c>
      <c r="H193" s="6"/>
      <c r="I193" s="7">
        <f>ROUND(SUM(I187:I192),5)</f>
        <v>0</v>
      </c>
      <c r="J193" s="6"/>
      <c r="K193" s="7">
        <f>ROUND(SUM(K187:K192),5)</f>
        <v>0</v>
      </c>
      <c r="L193" s="6"/>
      <c r="M193" s="7">
        <f>ROUND(SUM(M187:M192),5)</f>
        <v>0</v>
      </c>
      <c r="N193" s="6"/>
      <c r="O193" s="7">
        <f>ROUND(SUM(O187:O192),5)</f>
        <v>0</v>
      </c>
      <c r="P193" s="6"/>
      <c r="Q193" s="7">
        <f>ROUND(SUM(Q187:Q192),5)</f>
        <v>0</v>
      </c>
      <c r="R193" s="6"/>
      <c r="S193" s="7">
        <f>ROUND(SUM(S187:S192),5)</f>
        <v>0</v>
      </c>
      <c r="T193" s="6"/>
      <c r="U193" s="7">
        <f>ROUND(SUM(U187:U192),5)</f>
        <v>0</v>
      </c>
      <c r="V193" s="6"/>
      <c r="W193" s="7">
        <f>ROUND(SUM(W187:W192),5)</f>
        <v>0</v>
      </c>
      <c r="X193" s="6"/>
      <c r="Y193" s="7">
        <f>ROUND(SUM(Y187:Y192),5)</f>
        <v>0</v>
      </c>
      <c r="Z193" s="6"/>
      <c r="AA193" s="7">
        <f>ROUND(SUM(AA187:AA192),5)</f>
        <v>0</v>
      </c>
      <c r="AB193" s="6"/>
      <c r="AC193" s="7">
        <f>ROUND(SUM(AC187:AC192),5)</f>
        <v>0</v>
      </c>
      <c r="AD193" s="6"/>
      <c r="AE193" s="7">
        <f>ROUND(SUM(AE187:AE192),5)</f>
        <v>0</v>
      </c>
      <c r="AF193" s="6"/>
      <c r="AG193" s="7">
        <f>ROUND(SUM(AG187:AG192),5)</f>
        <v>16103.51</v>
      </c>
      <c r="AH193" s="6"/>
      <c r="AI193" s="7">
        <f>ROUND(SUM(AI187:AI192),5)</f>
        <v>2691.25</v>
      </c>
      <c r="AJ193" s="6"/>
      <c r="AK193" s="7">
        <f>ROUND(SUM(AK187:AK192),5)</f>
        <v>0</v>
      </c>
      <c r="AL193" s="6"/>
      <c r="AM193" s="7">
        <f>ROUND(SUM(AM187:AM192),5)</f>
        <v>0</v>
      </c>
      <c r="AN193" s="6"/>
      <c r="AO193" s="7">
        <f>ROUND(SUM(AO187:AO192),5)</f>
        <v>0</v>
      </c>
      <c r="AP193" s="6"/>
      <c r="AQ193" s="7">
        <f>ROUND(SUM(AQ187:AQ192),5)</f>
        <v>0</v>
      </c>
      <c r="AR193" s="6"/>
      <c r="AS193" s="7">
        <f>ROUND(SUM(AS187:AS192),5)</f>
        <v>0</v>
      </c>
      <c r="AT193" s="6"/>
      <c r="AU193" s="7">
        <f>ROUND(SUM(AU187:AU192),5)</f>
        <v>0</v>
      </c>
      <c r="AV193" s="6"/>
      <c r="AW193" s="7">
        <f>ROUND(SUM(AW187:AW192),5)</f>
        <v>0</v>
      </c>
      <c r="AX193" s="6"/>
      <c r="AY193" s="7">
        <f>ROUND(SUM(AY187:AY192),5)</f>
        <v>0</v>
      </c>
      <c r="AZ193" s="6"/>
      <c r="BA193" s="7">
        <f>ROUND(SUM(BA187:BA192),5)</f>
        <v>0</v>
      </c>
      <c r="BB193" s="6"/>
      <c r="BC193" s="7">
        <f>ROUND(SUM(BC187:BC192),5)</f>
        <v>0</v>
      </c>
      <c r="BD193" s="6"/>
      <c r="BE193" s="7">
        <f>ROUND(SUM(BE187:BE192),5)</f>
        <v>0</v>
      </c>
      <c r="BF193" s="6"/>
      <c r="BG193" s="7">
        <f>ROUND(SUM(BG187:BG192),5)</f>
        <v>0</v>
      </c>
      <c r="BH193" s="6"/>
      <c r="BI193" s="7">
        <f>ROUND(SUM(BI187:BI192),5)</f>
        <v>0</v>
      </c>
      <c r="BJ193" s="6"/>
      <c r="BK193" s="7">
        <f>ROUND(SUM(BK187:BK192),5)</f>
        <v>0</v>
      </c>
      <c r="BL193" s="6"/>
      <c r="BM193" s="7">
        <f>ROUND(SUM(BM187:BM192),5)</f>
        <v>0</v>
      </c>
      <c r="BN193" s="6"/>
      <c r="BO193" s="7">
        <f>ROUND(SUM(BO187:BO192),5)</f>
        <v>0</v>
      </c>
      <c r="BP193" s="6"/>
      <c r="BQ193" s="7">
        <f>ROUND(SUM(G193:BO193),5)</f>
        <v>18794.759999999998</v>
      </c>
    </row>
    <row r="194" spans="1:69">
      <c r="A194" s="4"/>
      <c r="B194" s="4"/>
      <c r="C194" s="4"/>
      <c r="D194" s="4"/>
      <c r="E194" s="4" t="s">
        <v>275</v>
      </c>
      <c r="F194" s="4"/>
      <c r="G194" s="7"/>
      <c r="H194" s="6"/>
      <c r="I194" s="7"/>
      <c r="J194" s="6"/>
      <c r="K194" s="7"/>
      <c r="L194" s="6"/>
      <c r="M194" s="7"/>
      <c r="N194" s="6"/>
      <c r="O194" s="7"/>
      <c r="P194" s="6"/>
      <c r="Q194" s="7"/>
      <c r="R194" s="6"/>
      <c r="S194" s="7"/>
      <c r="T194" s="6"/>
      <c r="U194" s="7"/>
      <c r="V194" s="6"/>
      <c r="W194" s="7"/>
      <c r="X194" s="6"/>
      <c r="Y194" s="7"/>
      <c r="Z194" s="6"/>
      <c r="AA194" s="7"/>
      <c r="AB194" s="6"/>
      <c r="AC194" s="7"/>
      <c r="AD194" s="6"/>
      <c r="AE194" s="7"/>
      <c r="AF194" s="6"/>
      <c r="AG194" s="7"/>
      <c r="AH194" s="6"/>
      <c r="AI194" s="7"/>
      <c r="AJ194" s="6"/>
      <c r="AK194" s="7"/>
      <c r="AL194" s="6"/>
      <c r="AM194" s="7"/>
      <c r="AN194" s="6"/>
      <c r="AO194" s="7"/>
      <c r="AP194" s="6"/>
      <c r="AQ194" s="7"/>
      <c r="AR194" s="6"/>
      <c r="AS194" s="7"/>
      <c r="AT194" s="6"/>
      <c r="AU194" s="7"/>
      <c r="AV194" s="6"/>
      <c r="AW194" s="7"/>
      <c r="AX194" s="6"/>
      <c r="AY194" s="7"/>
      <c r="AZ194" s="6"/>
      <c r="BA194" s="7"/>
      <c r="BB194" s="6"/>
      <c r="BC194" s="7"/>
      <c r="BD194" s="6"/>
      <c r="BE194" s="7"/>
      <c r="BF194" s="6"/>
      <c r="BG194" s="7"/>
      <c r="BH194" s="6"/>
      <c r="BI194" s="7"/>
      <c r="BJ194" s="6"/>
      <c r="BK194" s="7"/>
      <c r="BL194" s="6"/>
      <c r="BM194" s="7"/>
      <c r="BN194" s="6"/>
      <c r="BO194" s="7"/>
      <c r="BP194" s="6"/>
      <c r="BQ194" s="7"/>
    </row>
    <row r="195" spans="1:69" ht="15.75" thickBot="1">
      <c r="A195" s="4"/>
      <c r="B195" s="4"/>
      <c r="C195" s="4"/>
      <c r="D195" s="4"/>
      <c r="E195" s="4"/>
      <c r="F195" s="4" t="s">
        <v>276</v>
      </c>
      <c r="G195" s="9">
        <v>0</v>
      </c>
      <c r="H195" s="6"/>
      <c r="I195" s="9">
        <v>0</v>
      </c>
      <c r="J195" s="6"/>
      <c r="K195" s="9">
        <v>0</v>
      </c>
      <c r="L195" s="6"/>
      <c r="M195" s="9">
        <v>0</v>
      </c>
      <c r="N195" s="6"/>
      <c r="O195" s="9">
        <v>0</v>
      </c>
      <c r="P195" s="6"/>
      <c r="Q195" s="9">
        <v>0</v>
      </c>
      <c r="R195" s="6"/>
      <c r="S195" s="9">
        <v>0</v>
      </c>
      <c r="T195" s="6"/>
      <c r="U195" s="9">
        <v>0</v>
      </c>
      <c r="V195" s="6"/>
      <c r="W195" s="9">
        <v>0</v>
      </c>
      <c r="X195" s="6"/>
      <c r="Y195" s="9">
        <v>0</v>
      </c>
      <c r="Z195" s="6"/>
      <c r="AA195" s="9">
        <v>0</v>
      </c>
      <c r="AB195" s="6"/>
      <c r="AC195" s="9">
        <v>0</v>
      </c>
      <c r="AD195" s="6"/>
      <c r="AE195" s="9">
        <v>0</v>
      </c>
      <c r="AF195" s="6"/>
      <c r="AG195" s="9">
        <v>77874.720000000001</v>
      </c>
      <c r="AH195" s="6"/>
      <c r="AI195" s="9">
        <v>0</v>
      </c>
      <c r="AJ195" s="6"/>
      <c r="AK195" s="9">
        <v>174.53</v>
      </c>
      <c r="AL195" s="6"/>
      <c r="AM195" s="9">
        <v>0</v>
      </c>
      <c r="AN195" s="6"/>
      <c r="AO195" s="9">
        <v>0</v>
      </c>
      <c r="AP195" s="6"/>
      <c r="AQ195" s="9">
        <v>0</v>
      </c>
      <c r="AR195" s="6"/>
      <c r="AS195" s="9">
        <v>0</v>
      </c>
      <c r="AT195" s="6"/>
      <c r="AU195" s="9">
        <v>0</v>
      </c>
      <c r="AV195" s="6"/>
      <c r="AW195" s="9">
        <v>0</v>
      </c>
      <c r="AX195" s="6"/>
      <c r="AY195" s="9">
        <v>0</v>
      </c>
      <c r="AZ195" s="6"/>
      <c r="BA195" s="9">
        <v>0</v>
      </c>
      <c r="BB195" s="6"/>
      <c r="BC195" s="9">
        <v>0</v>
      </c>
      <c r="BD195" s="6"/>
      <c r="BE195" s="9">
        <v>0</v>
      </c>
      <c r="BF195" s="6"/>
      <c r="BG195" s="9">
        <v>0</v>
      </c>
      <c r="BH195" s="6"/>
      <c r="BI195" s="9">
        <v>0</v>
      </c>
      <c r="BJ195" s="6"/>
      <c r="BK195" s="9">
        <v>0</v>
      </c>
      <c r="BL195" s="6"/>
      <c r="BM195" s="9">
        <v>0</v>
      </c>
      <c r="BN195" s="6"/>
      <c r="BO195" s="9">
        <v>0</v>
      </c>
      <c r="BP195" s="6"/>
      <c r="BQ195" s="9">
        <f>ROUND(SUM(G195:BO195),5)</f>
        <v>78049.25</v>
      </c>
    </row>
    <row r="196" spans="1:69">
      <c r="A196" s="4"/>
      <c r="B196" s="4"/>
      <c r="C196" s="4"/>
      <c r="D196" s="4"/>
      <c r="E196" s="4" t="s">
        <v>277</v>
      </c>
      <c r="F196" s="4"/>
      <c r="G196" s="7">
        <f>ROUND(SUM(G194:G195),5)</f>
        <v>0</v>
      </c>
      <c r="H196" s="6"/>
      <c r="I196" s="7">
        <f>ROUND(SUM(I194:I195),5)</f>
        <v>0</v>
      </c>
      <c r="J196" s="6"/>
      <c r="K196" s="7">
        <f>ROUND(SUM(K194:K195),5)</f>
        <v>0</v>
      </c>
      <c r="L196" s="6"/>
      <c r="M196" s="7">
        <f>ROUND(SUM(M194:M195),5)</f>
        <v>0</v>
      </c>
      <c r="N196" s="6"/>
      <c r="O196" s="7">
        <f>ROUND(SUM(O194:O195),5)</f>
        <v>0</v>
      </c>
      <c r="P196" s="6"/>
      <c r="Q196" s="7">
        <f>ROUND(SUM(Q194:Q195),5)</f>
        <v>0</v>
      </c>
      <c r="R196" s="6"/>
      <c r="S196" s="7">
        <f>ROUND(SUM(S194:S195),5)</f>
        <v>0</v>
      </c>
      <c r="T196" s="6"/>
      <c r="U196" s="7">
        <f>ROUND(SUM(U194:U195),5)</f>
        <v>0</v>
      </c>
      <c r="V196" s="6"/>
      <c r="W196" s="7">
        <f>ROUND(SUM(W194:W195),5)</f>
        <v>0</v>
      </c>
      <c r="X196" s="6"/>
      <c r="Y196" s="7">
        <f>ROUND(SUM(Y194:Y195),5)</f>
        <v>0</v>
      </c>
      <c r="Z196" s="6"/>
      <c r="AA196" s="7">
        <f>ROUND(SUM(AA194:AA195),5)</f>
        <v>0</v>
      </c>
      <c r="AB196" s="6"/>
      <c r="AC196" s="7">
        <f>ROUND(SUM(AC194:AC195),5)</f>
        <v>0</v>
      </c>
      <c r="AD196" s="6"/>
      <c r="AE196" s="7">
        <f>ROUND(SUM(AE194:AE195),5)</f>
        <v>0</v>
      </c>
      <c r="AF196" s="6"/>
      <c r="AG196" s="7">
        <f>ROUND(SUM(AG194:AG195),5)</f>
        <v>77874.720000000001</v>
      </c>
      <c r="AH196" s="6"/>
      <c r="AI196" s="7">
        <f>ROUND(SUM(AI194:AI195),5)</f>
        <v>0</v>
      </c>
      <c r="AJ196" s="6"/>
      <c r="AK196" s="7">
        <f>ROUND(SUM(AK194:AK195),5)</f>
        <v>174.53</v>
      </c>
      <c r="AL196" s="6"/>
      <c r="AM196" s="7">
        <f>ROUND(SUM(AM194:AM195),5)</f>
        <v>0</v>
      </c>
      <c r="AN196" s="6"/>
      <c r="AO196" s="7">
        <f>ROUND(SUM(AO194:AO195),5)</f>
        <v>0</v>
      </c>
      <c r="AP196" s="6"/>
      <c r="AQ196" s="7">
        <f>ROUND(SUM(AQ194:AQ195),5)</f>
        <v>0</v>
      </c>
      <c r="AR196" s="6"/>
      <c r="AS196" s="7">
        <f>ROUND(SUM(AS194:AS195),5)</f>
        <v>0</v>
      </c>
      <c r="AT196" s="6"/>
      <c r="AU196" s="7">
        <f>ROUND(SUM(AU194:AU195),5)</f>
        <v>0</v>
      </c>
      <c r="AV196" s="6"/>
      <c r="AW196" s="7">
        <f>ROUND(SUM(AW194:AW195),5)</f>
        <v>0</v>
      </c>
      <c r="AX196" s="6"/>
      <c r="AY196" s="7">
        <f>ROUND(SUM(AY194:AY195),5)</f>
        <v>0</v>
      </c>
      <c r="AZ196" s="6"/>
      <c r="BA196" s="7">
        <f>ROUND(SUM(BA194:BA195),5)</f>
        <v>0</v>
      </c>
      <c r="BB196" s="6"/>
      <c r="BC196" s="7">
        <f>ROUND(SUM(BC194:BC195),5)</f>
        <v>0</v>
      </c>
      <c r="BD196" s="6"/>
      <c r="BE196" s="7">
        <f>ROUND(SUM(BE194:BE195),5)</f>
        <v>0</v>
      </c>
      <c r="BF196" s="6"/>
      <c r="BG196" s="7">
        <f>ROUND(SUM(BG194:BG195),5)</f>
        <v>0</v>
      </c>
      <c r="BH196" s="6"/>
      <c r="BI196" s="7">
        <f>ROUND(SUM(BI194:BI195),5)</f>
        <v>0</v>
      </c>
      <c r="BJ196" s="6"/>
      <c r="BK196" s="7">
        <f>ROUND(SUM(BK194:BK195),5)</f>
        <v>0</v>
      </c>
      <c r="BL196" s="6"/>
      <c r="BM196" s="7">
        <f>ROUND(SUM(BM194:BM195),5)</f>
        <v>0</v>
      </c>
      <c r="BN196" s="6"/>
      <c r="BO196" s="7">
        <f>ROUND(SUM(BO194:BO195),5)</f>
        <v>0</v>
      </c>
      <c r="BP196" s="6"/>
      <c r="BQ196" s="7">
        <f>ROUND(SUM(G196:BO196),5)</f>
        <v>78049.25</v>
      </c>
    </row>
    <row r="197" spans="1:69">
      <c r="A197" s="4"/>
      <c r="B197" s="4"/>
      <c r="C197" s="4"/>
      <c r="D197" s="4"/>
      <c r="E197" s="4" t="s">
        <v>278</v>
      </c>
      <c r="F197" s="4"/>
      <c r="G197" s="7"/>
      <c r="H197" s="6"/>
      <c r="I197" s="7"/>
      <c r="J197" s="6"/>
      <c r="K197" s="7"/>
      <c r="L197" s="6"/>
      <c r="M197" s="7"/>
      <c r="N197" s="6"/>
      <c r="O197" s="7"/>
      <c r="P197" s="6"/>
      <c r="Q197" s="7"/>
      <c r="R197" s="6"/>
      <c r="S197" s="7"/>
      <c r="T197" s="6"/>
      <c r="U197" s="7"/>
      <c r="V197" s="6"/>
      <c r="W197" s="7"/>
      <c r="X197" s="6"/>
      <c r="Y197" s="7"/>
      <c r="Z197" s="6"/>
      <c r="AA197" s="7"/>
      <c r="AB197" s="6"/>
      <c r="AC197" s="7"/>
      <c r="AD197" s="6"/>
      <c r="AE197" s="7"/>
      <c r="AF197" s="6"/>
      <c r="AG197" s="7"/>
      <c r="AH197" s="6"/>
      <c r="AI197" s="7"/>
      <c r="AJ197" s="6"/>
      <c r="AK197" s="7"/>
      <c r="AL197" s="6"/>
      <c r="AM197" s="7"/>
      <c r="AN197" s="6"/>
      <c r="AO197" s="7"/>
      <c r="AP197" s="6"/>
      <c r="AQ197" s="7"/>
      <c r="AR197" s="6"/>
      <c r="AS197" s="7"/>
      <c r="AT197" s="6"/>
      <c r="AU197" s="7"/>
      <c r="AV197" s="6"/>
      <c r="AW197" s="7"/>
      <c r="AX197" s="6"/>
      <c r="AY197" s="7"/>
      <c r="AZ197" s="6"/>
      <c r="BA197" s="7"/>
      <c r="BB197" s="6"/>
      <c r="BC197" s="7"/>
      <c r="BD197" s="6"/>
      <c r="BE197" s="7"/>
      <c r="BF197" s="6"/>
      <c r="BG197" s="7"/>
      <c r="BH197" s="6"/>
      <c r="BI197" s="7"/>
      <c r="BJ197" s="6"/>
      <c r="BK197" s="7"/>
      <c r="BL197" s="6"/>
      <c r="BM197" s="7"/>
      <c r="BN197" s="6"/>
      <c r="BO197" s="7"/>
      <c r="BP197" s="6"/>
      <c r="BQ197" s="7"/>
    </row>
    <row r="198" spans="1:69">
      <c r="A198" s="4"/>
      <c r="B198" s="4"/>
      <c r="C198" s="4"/>
      <c r="D198" s="4"/>
      <c r="E198" s="4"/>
      <c r="F198" s="4" t="s">
        <v>279</v>
      </c>
      <c r="G198" s="7">
        <v>0</v>
      </c>
      <c r="H198" s="6"/>
      <c r="I198" s="7">
        <v>0</v>
      </c>
      <c r="J198" s="6"/>
      <c r="K198" s="7">
        <v>0</v>
      </c>
      <c r="L198" s="6"/>
      <c r="M198" s="7">
        <v>0</v>
      </c>
      <c r="N198" s="6"/>
      <c r="O198" s="7">
        <v>0</v>
      </c>
      <c r="P198" s="6"/>
      <c r="Q198" s="7">
        <v>0</v>
      </c>
      <c r="R198" s="6"/>
      <c r="S198" s="7">
        <v>0</v>
      </c>
      <c r="T198" s="6"/>
      <c r="U198" s="7">
        <v>0</v>
      </c>
      <c r="V198" s="6"/>
      <c r="W198" s="7">
        <v>0</v>
      </c>
      <c r="X198" s="6"/>
      <c r="Y198" s="7">
        <v>0</v>
      </c>
      <c r="Z198" s="6"/>
      <c r="AA198" s="7">
        <v>0</v>
      </c>
      <c r="AB198" s="6"/>
      <c r="AC198" s="7">
        <v>0</v>
      </c>
      <c r="AD198" s="6"/>
      <c r="AE198" s="7">
        <v>0</v>
      </c>
      <c r="AF198" s="6"/>
      <c r="AG198" s="7">
        <v>103083.78</v>
      </c>
      <c r="AH198" s="6"/>
      <c r="AI198" s="7">
        <v>2500</v>
      </c>
      <c r="AJ198" s="6"/>
      <c r="AK198" s="7">
        <v>0</v>
      </c>
      <c r="AL198" s="6"/>
      <c r="AM198" s="7">
        <v>0</v>
      </c>
      <c r="AN198" s="6"/>
      <c r="AO198" s="7">
        <v>0</v>
      </c>
      <c r="AP198" s="6"/>
      <c r="AQ198" s="7">
        <v>0</v>
      </c>
      <c r="AR198" s="6"/>
      <c r="AS198" s="7">
        <v>0</v>
      </c>
      <c r="AT198" s="6"/>
      <c r="AU198" s="7">
        <v>0</v>
      </c>
      <c r="AV198" s="6"/>
      <c r="AW198" s="7">
        <v>0</v>
      </c>
      <c r="AX198" s="6"/>
      <c r="AY198" s="7">
        <v>0</v>
      </c>
      <c r="AZ198" s="6"/>
      <c r="BA198" s="7">
        <v>0</v>
      </c>
      <c r="BB198" s="6"/>
      <c r="BC198" s="7">
        <v>0</v>
      </c>
      <c r="BD198" s="6"/>
      <c r="BE198" s="7">
        <v>0</v>
      </c>
      <c r="BF198" s="6"/>
      <c r="BG198" s="7">
        <v>0</v>
      </c>
      <c r="BH198" s="6"/>
      <c r="BI198" s="7">
        <v>0</v>
      </c>
      <c r="BJ198" s="6"/>
      <c r="BK198" s="7">
        <v>0</v>
      </c>
      <c r="BL198" s="6"/>
      <c r="BM198" s="7">
        <v>0</v>
      </c>
      <c r="BN198" s="6"/>
      <c r="BO198" s="7">
        <v>0</v>
      </c>
      <c r="BP198" s="6"/>
      <c r="BQ198" s="7">
        <f>ROUND(SUM(G198:BO198),5)</f>
        <v>105583.78</v>
      </c>
    </row>
    <row r="199" spans="1:69">
      <c r="A199" s="4"/>
      <c r="B199" s="4"/>
      <c r="C199" s="4"/>
      <c r="D199" s="4"/>
      <c r="E199" s="4"/>
      <c r="F199" s="4" t="s">
        <v>280</v>
      </c>
      <c r="G199" s="7">
        <v>0</v>
      </c>
      <c r="H199" s="6"/>
      <c r="I199" s="7">
        <v>0</v>
      </c>
      <c r="J199" s="6"/>
      <c r="K199" s="7">
        <v>0</v>
      </c>
      <c r="L199" s="6"/>
      <c r="M199" s="7">
        <v>0</v>
      </c>
      <c r="N199" s="6"/>
      <c r="O199" s="7">
        <v>0</v>
      </c>
      <c r="P199" s="6"/>
      <c r="Q199" s="7">
        <v>0</v>
      </c>
      <c r="R199" s="6"/>
      <c r="S199" s="7">
        <v>0</v>
      </c>
      <c r="T199" s="6"/>
      <c r="U199" s="7">
        <v>0</v>
      </c>
      <c r="V199" s="6"/>
      <c r="W199" s="7">
        <v>0</v>
      </c>
      <c r="X199" s="6"/>
      <c r="Y199" s="7">
        <v>0</v>
      </c>
      <c r="Z199" s="6"/>
      <c r="AA199" s="7">
        <v>0</v>
      </c>
      <c r="AB199" s="6"/>
      <c r="AC199" s="7">
        <v>0</v>
      </c>
      <c r="AD199" s="6"/>
      <c r="AE199" s="7">
        <v>0</v>
      </c>
      <c r="AF199" s="6"/>
      <c r="AG199" s="7">
        <v>3550</v>
      </c>
      <c r="AH199" s="6"/>
      <c r="AI199" s="7">
        <v>5500</v>
      </c>
      <c r="AJ199" s="6"/>
      <c r="AK199" s="7">
        <v>0</v>
      </c>
      <c r="AL199" s="6"/>
      <c r="AM199" s="7">
        <v>0</v>
      </c>
      <c r="AN199" s="6"/>
      <c r="AO199" s="7">
        <v>0</v>
      </c>
      <c r="AP199" s="6"/>
      <c r="AQ199" s="7">
        <v>0</v>
      </c>
      <c r="AR199" s="6"/>
      <c r="AS199" s="7">
        <v>0</v>
      </c>
      <c r="AT199" s="6"/>
      <c r="AU199" s="7">
        <v>0</v>
      </c>
      <c r="AV199" s="6"/>
      <c r="AW199" s="7">
        <v>0</v>
      </c>
      <c r="AX199" s="6"/>
      <c r="AY199" s="7">
        <v>0</v>
      </c>
      <c r="AZ199" s="6"/>
      <c r="BA199" s="7">
        <v>0</v>
      </c>
      <c r="BB199" s="6"/>
      <c r="BC199" s="7">
        <v>0</v>
      </c>
      <c r="BD199" s="6"/>
      <c r="BE199" s="7">
        <v>0</v>
      </c>
      <c r="BF199" s="6"/>
      <c r="BG199" s="7">
        <v>0</v>
      </c>
      <c r="BH199" s="6"/>
      <c r="BI199" s="7">
        <v>0</v>
      </c>
      <c r="BJ199" s="6"/>
      <c r="BK199" s="7">
        <v>0</v>
      </c>
      <c r="BL199" s="6"/>
      <c r="BM199" s="7">
        <v>0</v>
      </c>
      <c r="BN199" s="6"/>
      <c r="BO199" s="7">
        <v>0</v>
      </c>
      <c r="BP199" s="6"/>
      <c r="BQ199" s="7">
        <f>ROUND(SUM(G199:BO199),5)</f>
        <v>9050</v>
      </c>
    </row>
    <row r="200" spans="1:69">
      <c r="A200" s="4"/>
      <c r="B200" s="4"/>
      <c r="C200" s="4"/>
      <c r="D200" s="4"/>
      <c r="E200" s="4"/>
      <c r="F200" s="4" t="s">
        <v>281</v>
      </c>
      <c r="G200" s="7">
        <v>0</v>
      </c>
      <c r="H200" s="6"/>
      <c r="I200" s="7">
        <v>0</v>
      </c>
      <c r="J200" s="6"/>
      <c r="K200" s="7">
        <v>0</v>
      </c>
      <c r="L200" s="6"/>
      <c r="M200" s="7">
        <v>0</v>
      </c>
      <c r="N200" s="6"/>
      <c r="O200" s="7">
        <v>0</v>
      </c>
      <c r="P200" s="6"/>
      <c r="Q200" s="7">
        <v>0</v>
      </c>
      <c r="R200" s="6"/>
      <c r="S200" s="7">
        <v>0</v>
      </c>
      <c r="T200" s="6"/>
      <c r="U200" s="7">
        <v>0</v>
      </c>
      <c r="V200" s="6"/>
      <c r="W200" s="7">
        <v>0</v>
      </c>
      <c r="X200" s="6"/>
      <c r="Y200" s="7">
        <v>0</v>
      </c>
      <c r="Z200" s="6"/>
      <c r="AA200" s="7">
        <v>0</v>
      </c>
      <c r="AB200" s="6"/>
      <c r="AC200" s="7">
        <v>0</v>
      </c>
      <c r="AD200" s="6"/>
      <c r="AE200" s="7">
        <v>0</v>
      </c>
      <c r="AF200" s="6"/>
      <c r="AG200" s="7">
        <v>8138.54</v>
      </c>
      <c r="AH200" s="6"/>
      <c r="AI200" s="7">
        <v>612</v>
      </c>
      <c r="AJ200" s="6"/>
      <c r="AK200" s="7">
        <v>0</v>
      </c>
      <c r="AL200" s="6"/>
      <c r="AM200" s="7">
        <v>0</v>
      </c>
      <c r="AN200" s="6"/>
      <c r="AO200" s="7">
        <v>0</v>
      </c>
      <c r="AP200" s="6"/>
      <c r="AQ200" s="7">
        <v>0</v>
      </c>
      <c r="AR200" s="6"/>
      <c r="AS200" s="7">
        <v>0</v>
      </c>
      <c r="AT200" s="6"/>
      <c r="AU200" s="7">
        <v>0</v>
      </c>
      <c r="AV200" s="6"/>
      <c r="AW200" s="7">
        <v>0</v>
      </c>
      <c r="AX200" s="6"/>
      <c r="AY200" s="7">
        <v>0</v>
      </c>
      <c r="AZ200" s="6"/>
      <c r="BA200" s="7">
        <v>0</v>
      </c>
      <c r="BB200" s="6"/>
      <c r="BC200" s="7">
        <v>0</v>
      </c>
      <c r="BD200" s="6"/>
      <c r="BE200" s="7">
        <v>0</v>
      </c>
      <c r="BF200" s="6"/>
      <c r="BG200" s="7">
        <v>0</v>
      </c>
      <c r="BH200" s="6"/>
      <c r="BI200" s="7">
        <v>0</v>
      </c>
      <c r="BJ200" s="6"/>
      <c r="BK200" s="7">
        <v>0</v>
      </c>
      <c r="BL200" s="6"/>
      <c r="BM200" s="7">
        <v>0</v>
      </c>
      <c r="BN200" s="6"/>
      <c r="BO200" s="7">
        <v>0</v>
      </c>
      <c r="BP200" s="6"/>
      <c r="BQ200" s="7">
        <f>ROUND(SUM(G200:BO200),5)</f>
        <v>8750.5400000000009</v>
      </c>
    </row>
    <row r="201" spans="1:69">
      <c r="A201" s="4"/>
      <c r="B201" s="4"/>
      <c r="C201" s="4"/>
      <c r="D201" s="4"/>
      <c r="E201" s="4"/>
      <c r="F201" s="4" t="s">
        <v>282</v>
      </c>
      <c r="G201" s="7">
        <v>0</v>
      </c>
      <c r="H201" s="6"/>
      <c r="I201" s="7">
        <v>0</v>
      </c>
      <c r="J201" s="6"/>
      <c r="K201" s="7">
        <v>0</v>
      </c>
      <c r="L201" s="6"/>
      <c r="M201" s="7">
        <v>0</v>
      </c>
      <c r="N201" s="6"/>
      <c r="O201" s="7">
        <v>0</v>
      </c>
      <c r="P201" s="6"/>
      <c r="Q201" s="7">
        <v>0</v>
      </c>
      <c r="R201" s="6"/>
      <c r="S201" s="7">
        <v>0</v>
      </c>
      <c r="T201" s="6"/>
      <c r="U201" s="7">
        <v>0</v>
      </c>
      <c r="V201" s="6"/>
      <c r="W201" s="7">
        <v>0</v>
      </c>
      <c r="X201" s="6"/>
      <c r="Y201" s="7">
        <v>0</v>
      </c>
      <c r="Z201" s="6"/>
      <c r="AA201" s="7">
        <v>0</v>
      </c>
      <c r="AB201" s="6"/>
      <c r="AC201" s="7">
        <v>0</v>
      </c>
      <c r="AD201" s="6"/>
      <c r="AE201" s="7">
        <v>0</v>
      </c>
      <c r="AF201" s="6"/>
      <c r="AG201" s="7">
        <v>4950.38</v>
      </c>
      <c r="AH201" s="6"/>
      <c r="AI201" s="7">
        <v>0</v>
      </c>
      <c r="AJ201" s="6"/>
      <c r="AK201" s="7">
        <v>0</v>
      </c>
      <c r="AL201" s="6"/>
      <c r="AM201" s="7">
        <v>0</v>
      </c>
      <c r="AN201" s="6"/>
      <c r="AO201" s="7">
        <v>0</v>
      </c>
      <c r="AP201" s="6"/>
      <c r="AQ201" s="7">
        <v>0</v>
      </c>
      <c r="AR201" s="6"/>
      <c r="AS201" s="7">
        <v>0</v>
      </c>
      <c r="AT201" s="6"/>
      <c r="AU201" s="7">
        <v>0</v>
      </c>
      <c r="AV201" s="6"/>
      <c r="AW201" s="7">
        <v>0</v>
      </c>
      <c r="AX201" s="6"/>
      <c r="AY201" s="7">
        <v>0</v>
      </c>
      <c r="AZ201" s="6"/>
      <c r="BA201" s="7">
        <v>0</v>
      </c>
      <c r="BB201" s="6"/>
      <c r="BC201" s="7">
        <v>0</v>
      </c>
      <c r="BD201" s="6"/>
      <c r="BE201" s="7">
        <v>0</v>
      </c>
      <c r="BF201" s="6"/>
      <c r="BG201" s="7">
        <v>0</v>
      </c>
      <c r="BH201" s="6"/>
      <c r="BI201" s="7">
        <v>0</v>
      </c>
      <c r="BJ201" s="6"/>
      <c r="BK201" s="7">
        <v>0</v>
      </c>
      <c r="BL201" s="6"/>
      <c r="BM201" s="7">
        <v>0</v>
      </c>
      <c r="BN201" s="6"/>
      <c r="BO201" s="7">
        <v>0</v>
      </c>
      <c r="BP201" s="6"/>
      <c r="BQ201" s="7">
        <f>ROUND(SUM(G201:BO201),5)</f>
        <v>4950.38</v>
      </c>
    </row>
    <row r="202" spans="1:69">
      <c r="A202" s="4"/>
      <c r="B202" s="4"/>
      <c r="C202" s="4"/>
      <c r="D202" s="4"/>
      <c r="E202" s="4"/>
      <c r="F202" s="4" t="s">
        <v>283</v>
      </c>
      <c r="G202" s="7">
        <v>0</v>
      </c>
      <c r="H202" s="6"/>
      <c r="I202" s="7">
        <v>0</v>
      </c>
      <c r="J202" s="6"/>
      <c r="K202" s="7">
        <v>0</v>
      </c>
      <c r="L202" s="6"/>
      <c r="M202" s="7">
        <v>0</v>
      </c>
      <c r="N202" s="6"/>
      <c r="O202" s="7">
        <v>0</v>
      </c>
      <c r="P202" s="6"/>
      <c r="Q202" s="7">
        <v>0</v>
      </c>
      <c r="R202" s="6"/>
      <c r="S202" s="7">
        <v>0</v>
      </c>
      <c r="T202" s="6"/>
      <c r="U202" s="7">
        <v>0</v>
      </c>
      <c r="V202" s="6"/>
      <c r="W202" s="7">
        <v>0</v>
      </c>
      <c r="X202" s="6"/>
      <c r="Y202" s="7">
        <v>0</v>
      </c>
      <c r="Z202" s="6"/>
      <c r="AA202" s="7">
        <v>0</v>
      </c>
      <c r="AB202" s="6"/>
      <c r="AC202" s="7">
        <v>0</v>
      </c>
      <c r="AD202" s="6"/>
      <c r="AE202" s="7">
        <v>0</v>
      </c>
      <c r="AF202" s="6"/>
      <c r="AG202" s="7">
        <v>-1697.85</v>
      </c>
      <c r="AH202" s="6"/>
      <c r="AI202" s="7">
        <v>0</v>
      </c>
      <c r="AJ202" s="6"/>
      <c r="AK202" s="7">
        <v>0</v>
      </c>
      <c r="AL202" s="6"/>
      <c r="AM202" s="7">
        <v>0</v>
      </c>
      <c r="AN202" s="6"/>
      <c r="AO202" s="7">
        <v>0</v>
      </c>
      <c r="AP202" s="6"/>
      <c r="AQ202" s="7">
        <v>0</v>
      </c>
      <c r="AR202" s="6"/>
      <c r="AS202" s="7">
        <v>0</v>
      </c>
      <c r="AT202" s="6"/>
      <c r="AU202" s="7">
        <v>0</v>
      </c>
      <c r="AV202" s="6"/>
      <c r="AW202" s="7">
        <v>0</v>
      </c>
      <c r="AX202" s="6"/>
      <c r="AY202" s="7">
        <v>0</v>
      </c>
      <c r="AZ202" s="6"/>
      <c r="BA202" s="7">
        <v>0</v>
      </c>
      <c r="BB202" s="6"/>
      <c r="BC202" s="7">
        <v>0</v>
      </c>
      <c r="BD202" s="6"/>
      <c r="BE202" s="7">
        <v>0</v>
      </c>
      <c r="BF202" s="6"/>
      <c r="BG202" s="7">
        <v>0</v>
      </c>
      <c r="BH202" s="6"/>
      <c r="BI202" s="7">
        <v>0</v>
      </c>
      <c r="BJ202" s="6"/>
      <c r="BK202" s="7">
        <v>0</v>
      </c>
      <c r="BL202" s="6"/>
      <c r="BM202" s="7">
        <v>0</v>
      </c>
      <c r="BN202" s="6"/>
      <c r="BO202" s="7">
        <v>0</v>
      </c>
      <c r="BP202" s="6"/>
      <c r="BQ202" s="7">
        <f>ROUND(SUM(G202:BO202),5)</f>
        <v>-1697.85</v>
      </c>
    </row>
    <row r="203" spans="1:69">
      <c r="A203" s="4"/>
      <c r="B203" s="4"/>
      <c r="C203" s="4"/>
      <c r="D203" s="4"/>
      <c r="E203" s="4"/>
      <c r="F203" s="4" t="s">
        <v>284</v>
      </c>
      <c r="G203" s="7">
        <v>0</v>
      </c>
      <c r="H203" s="6"/>
      <c r="I203" s="7">
        <v>0</v>
      </c>
      <c r="J203" s="6"/>
      <c r="K203" s="7">
        <v>0</v>
      </c>
      <c r="L203" s="6"/>
      <c r="M203" s="7">
        <v>0</v>
      </c>
      <c r="N203" s="6"/>
      <c r="O203" s="7">
        <v>0</v>
      </c>
      <c r="P203" s="6"/>
      <c r="Q203" s="7">
        <v>0</v>
      </c>
      <c r="R203" s="6"/>
      <c r="S203" s="7">
        <v>0</v>
      </c>
      <c r="T203" s="6"/>
      <c r="U203" s="7">
        <v>0</v>
      </c>
      <c r="V203" s="6"/>
      <c r="W203" s="7">
        <v>0</v>
      </c>
      <c r="X203" s="6"/>
      <c r="Y203" s="7">
        <v>0</v>
      </c>
      <c r="Z203" s="6"/>
      <c r="AA203" s="7">
        <v>0</v>
      </c>
      <c r="AB203" s="6"/>
      <c r="AC203" s="7">
        <v>0</v>
      </c>
      <c r="AD203" s="6"/>
      <c r="AE203" s="7">
        <v>0</v>
      </c>
      <c r="AF203" s="6"/>
      <c r="AG203" s="7">
        <v>90022.77</v>
      </c>
      <c r="AH203" s="6"/>
      <c r="AI203" s="7">
        <v>3078.33</v>
      </c>
      <c r="AJ203" s="6"/>
      <c r="AK203" s="7">
        <v>0</v>
      </c>
      <c r="AL203" s="6"/>
      <c r="AM203" s="7">
        <v>0</v>
      </c>
      <c r="AN203" s="6"/>
      <c r="AO203" s="7">
        <v>0</v>
      </c>
      <c r="AP203" s="6"/>
      <c r="AQ203" s="7">
        <v>0</v>
      </c>
      <c r="AR203" s="6"/>
      <c r="AS203" s="7">
        <v>0</v>
      </c>
      <c r="AT203" s="6"/>
      <c r="AU203" s="7">
        <v>27142.94</v>
      </c>
      <c r="AV203" s="6"/>
      <c r="AW203" s="7">
        <v>0</v>
      </c>
      <c r="AX203" s="6"/>
      <c r="AY203" s="7">
        <v>0</v>
      </c>
      <c r="AZ203" s="6"/>
      <c r="BA203" s="7">
        <v>0</v>
      </c>
      <c r="BB203" s="6"/>
      <c r="BC203" s="7">
        <v>0</v>
      </c>
      <c r="BD203" s="6"/>
      <c r="BE203" s="7">
        <v>0</v>
      </c>
      <c r="BF203" s="6"/>
      <c r="BG203" s="7">
        <v>0</v>
      </c>
      <c r="BH203" s="6"/>
      <c r="BI203" s="7">
        <v>0</v>
      </c>
      <c r="BJ203" s="6"/>
      <c r="BK203" s="7">
        <v>0</v>
      </c>
      <c r="BL203" s="6"/>
      <c r="BM203" s="7">
        <v>0</v>
      </c>
      <c r="BN203" s="6"/>
      <c r="BO203" s="7">
        <v>0</v>
      </c>
      <c r="BP203" s="6"/>
      <c r="BQ203" s="7">
        <f>ROUND(SUM(G203:BO203),5)</f>
        <v>120244.04</v>
      </c>
    </row>
    <row r="204" spans="1:69">
      <c r="A204" s="4"/>
      <c r="B204" s="4"/>
      <c r="C204" s="4"/>
      <c r="D204" s="4"/>
      <c r="E204" s="4"/>
      <c r="F204" s="4" t="s">
        <v>285</v>
      </c>
      <c r="G204" s="7">
        <v>0</v>
      </c>
      <c r="H204" s="6"/>
      <c r="I204" s="7">
        <v>0</v>
      </c>
      <c r="J204" s="6"/>
      <c r="K204" s="7">
        <v>0</v>
      </c>
      <c r="L204" s="6"/>
      <c r="M204" s="7">
        <v>0</v>
      </c>
      <c r="N204" s="6"/>
      <c r="O204" s="7">
        <v>0</v>
      </c>
      <c r="P204" s="6"/>
      <c r="Q204" s="7">
        <v>0</v>
      </c>
      <c r="R204" s="6"/>
      <c r="S204" s="7">
        <v>0</v>
      </c>
      <c r="T204" s="6"/>
      <c r="U204" s="7">
        <v>0</v>
      </c>
      <c r="V204" s="6"/>
      <c r="W204" s="7">
        <v>0</v>
      </c>
      <c r="X204" s="6"/>
      <c r="Y204" s="7">
        <v>0</v>
      </c>
      <c r="Z204" s="6"/>
      <c r="AA204" s="7">
        <v>0</v>
      </c>
      <c r="AB204" s="6"/>
      <c r="AC204" s="7">
        <v>0</v>
      </c>
      <c r="AD204" s="6"/>
      <c r="AE204" s="7">
        <v>0</v>
      </c>
      <c r="AF204" s="6"/>
      <c r="AG204" s="7">
        <v>3304.5</v>
      </c>
      <c r="AH204" s="6"/>
      <c r="AI204" s="7">
        <v>0</v>
      </c>
      <c r="AJ204" s="6"/>
      <c r="AK204" s="7">
        <v>0</v>
      </c>
      <c r="AL204" s="6"/>
      <c r="AM204" s="7">
        <v>0</v>
      </c>
      <c r="AN204" s="6"/>
      <c r="AO204" s="7">
        <v>0</v>
      </c>
      <c r="AP204" s="6"/>
      <c r="AQ204" s="7">
        <v>0</v>
      </c>
      <c r="AR204" s="6"/>
      <c r="AS204" s="7">
        <v>0</v>
      </c>
      <c r="AT204" s="6"/>
      <c r="AU204" s="7">
        <v>30789.65</v>
      </c>
      <c r="AV204" s="6"/>
      <c r="AW204" s="7">
        <v>0</v>
      </c>
      <c r="AX204" s="6"/>
      <c r="AY204" s="7">
        <v>0</v>
      </c>
      <c r="AZ204" s="6"/>
      <c r="BA204" s="7">
        <v>0</v>
      </c>
      <c r="BB204" s="6"/>
      <c r="BC204" s="7">
        <v>0</v>
      </c>
      <c r="BD204" s="6"/>
      <c r="BE204" s="7">
        <v>0</v>
      </c>
      <c r="BF204" s="6"/>
      <c r="BG204" s="7">
        <v>0</v>
      </c>
      <c r="BH204" s="6"/>
      <c r="BI204" s="7">
        <v>0</v>
      </c>
      <c r="BJ204" s="6"/>
      <c r="BK204" s="7">
        <v>0</v>
      </c>
      <c r="BL204" s="6"/>
      <c r="BM204" s="7">
        <v>0</v>
      </c>
      <c r="BN204" s="6"/>
      <c r="BO204" s="7">
        <v>0</v>
      </c>
      <c r="BP204" s="6"/>
      <c r="BQ204" s="7">
        <f>ROUND(SUM(G204:BO204),5)</f>
        <v>34094.15</v>
      </c>
    </row>
    <row r="205" spans="1:69">
      <c r="A205" s="4"/>
      <c r="B205" s="4"/>
      <c r="C205" s="4"/>
      <c r="D205" s="4"/>
      <c r="E205" s="4"/>
      <c r="F205" s="4" t="s">
        <v>286</v>
      </c>
      <c r="G205" s="7">
        <v>0</v>
      </c>
      <c r="H205" s="6"/>
      <c r="I205" s="7">
        <v>0</v>
      </c>
      <c r="J205" s="6"/>
      <c r="K205" s="7">
        <v>0</v>
      </c>
      <c r="L205" s="6"/>
      <c r="M205" s="7">
        <v>0</v>
      </c>
      <c r="N205" s="6"/>
      <c r="O205" s="7">
        <v>0</v>
      </c>
      <c r="P205" s="6"/>
      <c r="Q205" s="7">
        <v>0</v>
      </c>
      <c r="R205" s="6"/>
      <c r="S205" s="7">
        <v>0</v>
      </c>
      <c r="T205" s="6"/>
      <c r="U205" s="7">
        <v>0</v>
      </c>
      <c r="V205" s="6"/>
      <c r="W205" s="7">
        <v>0</v>
      </c>
      <c r="X205" s="6"/>
      <c r="Y205" s="7">
        <v>0</v>
      </c>
      <c r="Z205" s="6"/>
      <c r="AA205" s="7">
        <v>0</v>
      </c>
      <c r="AB205" s="6"/>
      <c r="AC205" s="7">
        <v>0</v>
      </c>
      <c r="AD205" s="6"/>
      <c r="AE205" s="7">
        <v>0</v>
      </c>
      <c r="AF205" s="6"/>
      <c r="AG205" s="7">
        <v>175</v>
      </c>
      <c r="AH205" s="6"/>
      <c r="AI205" s="7">
        <v>0</v>
      </c>
      <c r="AJ205" s="6"/>
      <c r="AK205" s="7">
        <v>0</v>
      </c>
      <c r="AL205" s="6"/>
      <c r="AM205" s="7">
        <v>0</v>
      </c>
      <c r="AN205" s="6"/>
      <c r="AO205" s="7">
        <v>0</v>
      </c>
      <c r="AP205" s="6"/>
      <c r="AQ205" s="7">
        <v>0</v>
      </c>
      <c r="AR205" s="6"/>
      <c r="AS205" s="7">
        <v>0</v>
      </c>
      <c r="AT205" s="6"/>
      <c r="AU205" s="7">
        <v>0</v>
      </c>
      <c r="AV205" s="6"/>
      <c r="AW205" s="7">
        <v>0</v>
      </c>
      <c r="AX205" s="6"/>
      <c r="AY205" s="7">
        <v>0</v>
      </c>
      <c r="AZ205" s="6"/>
      <c r="BA205" s="7">
        <v>0</v>
      </c>
      <c r="BB205" s="6"/>
      <c r="BC205" s="7">
        <v>0</v>
      </c>
      <c r="BD205" s="6"/>
      <c r="BE205" s="7">
        <v>0</v>
      </c>
      <c r="BF205" s="6"/>
      <c r="BG205" s="7">
        <v>0</v>
      </c>
      <c r="BH205" s="6"/>
      <c r="BI205" s="7">
        <v>0</v>
      </c>
      <c r="BJ205" s="6"/>
      <c r="BK205" s="7">
        <v>0</v>
      </c>
      <c r="BL205" s="6"/>
      <c r="BM205" s="7">
        <v>0</v>
      </c>
      <c r="BN205" s="6"/>
      <c r="BO205" s="7">
        <v>0</v>
      </c>
      <c r="BP205" s="6"/>
      <c r="BQ205" s="7">
        <f>ROUND(SUM(G205:BO205),5)</f>
        <v>175</v>
      </c>
    </row>
    <row r="206" spans="1:69" ht="15.75" thickBot="1">
      <c r="A206" s="4"/>
      <c r="B206" s="4"/>
      <c r="C206" s="4"/>
      <c r="D206" s="4"/>
      <c r="E206" s="4"/>
      <c r="F206" s="4" t="s">
        <v>287</v>
      </c>
      <c r="G206" s="9">
        <v>0</v>
      </c>
      <c r="H206" s="6"/>
      <c r="I206" s="9">
        <v>0</v>
      </c>
      <c r="J206" s="6"/>
      <c r="K206" s="9">
        <v>0</v>
      </c>
      <c r="L206" s="6"/>
      <c r="M206" s="9">
        <v>0</v>
      </c>
      <c r="N206" s="6"/>
      <c r="O206" s="9">
        <v>0</v>
      </c>
      <c r="P206" s="6"/>
      <c r="Q206" s="9">
        <v>0</v>
      </c>
      <c r="R206" s="6"/>
      <c r="S206" s="9">
        <v>0</v>
      </c>
      <c r="T206" s="6"/>
      <c r="U206" s="9">
        <v>0</v>
      </c>
      <c r="V206" s="6"/>
      <c r="W206" s="9">
        <v>0</v>
      </c>
      <c r="X206" s="6"/>
      <c r="Y206" s="9">
        <v>0</v>
      </c>
      <c r="Z206" s="6"/>
      <c r="AA206" s="9">
        <v>0</v>
      </c>
      <c r="AB206" s="6"/>
      <c r="AC206" s="9">
        <v>0</v>
      </c>
      <c r="AD206" s="6"/>
      <c r="AE206" s="9">
        <v>0</v>
      </c>
      <c r="AF206" s="6"/>
      <c r="AG206" s="9">
        <v>139.38999999999999</v>
      </c>
      <c r="AH206" s="6"/>
      <c r="AI206" s="9">
        <v>0</v>
      </c>
      <c r="AJ206" s="6"/>
      <c r="AK206" s="9">
        <v>0</v>
      </c>
      <c r="AL206" s="6"/>
      <c r="AM206" s="9">
        <v>0</v>
      </c>
      <c r="AN206" s="6"/>
      <c r="AO206" s="9">
        <v>0</v>
      </c>
      <c r="AP206" s="6"/>
      <c r="AQ206" s="9">
        <v>0</v>
      </c>
      <c r="AR206" s="6"/>
      <c r="AS206" s="9">
        <v>0</v>
      </c>
      <c r="AT206" s="6"/>
      <c r="AU206" s="9">
        <v>0</v>
      </c>
      <c r="AV206" s="6"/>
      <c r="AW206" s="9">
        <v>0</v>
      </c>
      <c r="AX206" s="6"/>
      <c r="AY206" s="9">
        <v>0</v>
      </c>
      <c r="AZ206" s="6"/>
      <c r="BA206" s="9">
        <v>0</v>
      </c>
      <c r="BB206" s="6"/>
      <c r="BC206" s="9">
        <v>0</v>
      </c>
      <c r="BD206" s="6"/>
      <c r="BE206" s="9">
        <v>0</v>
      </c>
      <c r="BF206" s="6"/>
      <c r="BG206" s="9">
        <v>0</v>
      </c>
      <c r="BH206" s="6"/>
      <c r="BI206" s="9">
        <v>0</v>
      </c>
      <c r="BJ206" s="6"/>
      <c r="BK206" s="9">
        <v>0</v>
      </c>
      <c r="BL206" s="6"/>
      <c r="BM206" s="9">
        <v>0</v>
      </c>
      <c r="BN206" s="6"/>
      <c r="BO206" s="9">
        <v>0</v>
      </c>
      <c r="BP206" s="6"/>
      <c r="BQ206" s="9">
        <f>ROUND(SUM(G206:BO206),5)</f>
        <v>139.38999999999999</v>
      </c>
    </row>
    <row r="207" spans="1:69">
      <c r="A207" s="4"/>
      <c r="B207" s="4"/>
      <c r="C207" s="4"/>
      <c r="D207" s="4"/>
      <c r="E207" s="4" t="s">
        <v>288</v>
      </c>
      <c r="F207" s="4"/>
      <c r="G207" s="7">
        <f>ROUND(SUM(G197:G206),5)</f>
        <v>0</v>
      </c>
      <c r="H207" s="6"/>
      <c r="I207" s="7">
        <f>ROUND(SUM(I197:I206),5)</f>
        <v>0</v>
      </c>
      <c r="J207" s="6"/>
      <c r="K207" s="7">
        <f>ROUND(SUM(K197:K206),5)</f>
        <v>0</v>
      </c>
      <c r="L207" s="6"/>
      <c r="M207" s="7">
        <f>ROUND(SUM(M197:M206),5)</f>
        <v>0</v>
      </c>
      <c r="N207" s="6"/>
      <c r="O207" s="7">
        <f>ROUND(SUM(O197:O206),5)</f>
        <v>0</v>
      </c>
      <c r="P207" s="6"/>
      <c r="Q207" s="7">
        <f>ROUND(SUM(Q197:Q206),5)</f>
        <v>0</v>
      </c>
      <c r="R207" s="6"/>
      <c r="S207" s="7">
        <f>ROUND(SUM(S197:S206),5)</f>
        <v>0</v>
      </c>
      <c r="T207" s="6"/>
      <c r="U207" s="7">
        <f>ROUND(SUM(U197:U206),5)</f>
        <v>0</v>
      </c>
      <c r="V207" s="6"/>
      <c r="W207" s="7">
        <f>ROUND(SUM(W197:W206),5)</f>
        <v>0</v>
      </c>
      <c r="X207" s="6"/>
      <c r="Y207" s="7">
        <f>ROUND(SUM(Y197:Y206),5)</f>
        <v>0</v>
      </c>
      <c r="Z207" s="6"/>
      <c r="AA207" s="7">
        <f>ROUND(SUM(AA197:AA206),5)</f>
        <v>0</v>
      </c>
      <c r="AB207" s="6"/>
      <c r="AC207" s="7">
        <f>ROUND(SUM(AC197:AC206),5)</f>
        <v>0</v>
      </c>
      <c r="AD207" s="6"/>
      <c r="AE207" s="7">
        <f>ROUND(SUM(AE197:AE206),5)</f>
        <v>0</v>
      </c>
      <c r="AF207" s="6"/>
      <c r="AG207" s="7">
        <f>ROUND(SUM(AG197:AG206),5)</f>
        <v>211666.51</v>
      </c>
      <c r="AH207" s="6"/>
      <c r="AI207" s="7">
        <f>ROUND(SUM(AI197:AI206),5)</f>
        <v>11690.33</v>
      </c>
      <c r="AJ207" s="6"/>
      <c r="AK207" s="7">
        <f>ROUND(SUM(AK197:AK206),5)</f>
        <v>0</v>
      </c>
      <c r="AL207" s="6"/>
      <c r="AM207" s="7">
        <f>ROUND(SUM(AM197:AM206),5)</f>
        <v>0</v>
      </c>
      <c r="AN207" s="6"/>
      <c r="AO207" s="7">
        <f>ROUND(SUM(AO197:AO206),5)</f>
        <v>0</v>
      </c>
      <c r="AP207" s="6"/>
      <c r="AQ207" s="7">
        <f>ROUND(SUM(AQ197:AQ206),5)</f>
        <v>0</v>
      </c>
      <c r="AR207" s="6"/>
      <c r="AS207" s="7">
        <f>ROUND(SUM(AS197:AS206),5)</f>
        <v>0</v>
      </c>
      <c r="AT207" s="6"/>
      <c r="AU207" s="7">
        <f>ROUND(SUM(AU197:AU206),5)</f>
        <v>57932.59</v>
      </c>
      <c r="AV207" s="6"/>
      <c r="AW207" s="7">
        <f>ROUND(SUM(AW197:AW206),5)</f>
        <v>0</v>
      </c>
      <c r="AX207" s="6"/>
      <c r="AY207" s="7">
        <f>ROUND(SUM(AY197:AY206),5)</f>
        <v>0</v>
      </c>
      <c r="AZ207" s="6"/>
      <c r="BA207" s="7">
        <f>ROUND(SUM(BA197:BA206),5)</f>
        <v>0</v>
      </c>
      <c r="BB207" s="6"/>
      <c r="BC207" s="7">
        <f>ROUND(SUM(BC197:BC206),5)</f>
        <v>0</v>
      </c>
      <c r="BD207" s="6"/>
      <c r="BE207" s="7">
        <f>ROUND(SUM(BE197:BE206),5)</f>
        <v>0</v>
      </c>
      <c r="BF207" s="6"/>
      <c r="BG207" s="7">
        <f>ROUND(SUM(BG197:BG206),5)</f>
        <v>0</v>
      </c>
      <c r="BH207" s="6"/>
      <c r="BI207" s="7">
        <f>ROUND(SUM(BI197:BI206),5)</f>
        <v>0</v>
      </c>
      <c r="BJ207" s="6"/>
      <c r="BK207" s="7">
        <f>ROUND(SUM(BK197:BK206),5)</f>
        <v>0</v>
      </c>
      <c r="BL207" s="6"/>
      <c r="BM207" s="7">
        <f>ROUND(SUM(BM197:BM206),5)</f>
        <v>0</v>
      </c>
      <c r="BN207" s="6"/>
      <c r="BO207" s="7">
        <f>ROUND(SUM(BO197:BO206),5)</f>
        <v>0</v>
      </c>
      <c r="BP207" s="6"/>
      <c r="BQ207" s="7">
        <f>ROUND(SUM(G207:BO207),5)</f>
        <v>281289.43</v>
      </c>
    </row>
    <row r="208" spans="1:69">
      <c r="A208" s="4"/>
      <c r="B208" s="4"/>
      <c r="C208" s="4"/>
      <c r="D208" s="4"/>
      <c r="E208" s="4" t="s">
        <v>289</v>
      </c>
      <c r="F208" s="4"/>
      <c r="G208" s="7"/>
      <c r="H208" s="6"/>
      <c r="I208" s="7"/>
      <c r="J208" s="6"/>
      <c r="K208" s="7"/>
      <c r="L208" s="6"/>
      <c r="M208" s="7"/>
      <c r="N208" s="6"/>
      <c r="O208" s="7"/>
      <c r="P208" s="6"/>
      <c r="Q208" s="7"/>
      <c r="R208" s="6"/>
      <c r="S208" s="7"/>
      <c r="T208" s="6"/>
      <c r="U208" s="7"/>
      <c r="V208" s="6"/>
      <c r="W208" s="7"/>
      <c r="X208" s="6"/>
      <c r="Y208" s="7"/>
      <c r="Z208" s="6"/>
      <c r="AA208" s="7"/>
      <c r="AB208" s="6"/>
      <c r="AC208" s="7"/>
      <c r="AD208" s="6"/>
      <c r="AE208" s="7"/>
      <c r="AF208" s="6"/>
      <c r="AG208" s="7"/>
      <c r="AH208" s="6"/>
      <c r="AI208" s="7"/>
      <c r="AJ208" s="6"/>
      <c r="AK208" s="7"/>
      <c r="AL208" s="6"/>
      <c r="AM208" s="7"/>
      <c r="AN208" s="6"/>
      <c r="AO208" s="7"/>
      <c r="AP208" s="6"/>
      <c r="AQ208" s="7"/>
      <c r="AR208" s="6"/>
      <c r="AS208" s="7"/>
      <c r="AT208" s="6"/>
      <c r="AU208" s="7"/>
      <c r="AV208" s="6"/>
      <c r="AW208" s="7"/>
      <c r="AX208" s="6"/>
      <c r="AY208" s="7"/>
      <c r="AZ208" s="6"/>
      <c r="BA208" s="7"/>
      <c r="BB208" s="6"/>
      <c r="BC208" s="7"/>
      <c r="BD208" s="6"/>
      <c r="BE208" s="7"/>
      <c r="BF208" s="6"/>
      <c r="BG208" s="7"/>
      <c r="BH208" s="6"/>
      <c r="BI208" s="7"/>
      <c r="BJ208" s="6"/>
      <c r="BK208" s="7"/>
      <c r="BL208" s="6"/>
      <c r="BM208" s="7"/>
      <c r="BN208" s="6"/>
      <c r="BO208" s="7"/>
      <c r="BP208" s="6"/>
      <c r="BQ208" s="7"/>
    </row>
    <row r="209" spans="1:69">
      <c r="A209" s="4"/>
      <c r="B209" s="4"/>
      <c r="C209" s="4"/>
      <c r="D209" s="4"/>
      <c r="E209" s="4"/>
      <c r="F209" s="4" t="s">
        <v>290</v>
      </c>
      <c r="G209" s="7">
        <v>0</v>
      </c>
      <c r="H209" s="6"/>
      <c r="I209" s="7">
        <v>0</v>
      </c>
      <c r="J209" s="6"/>
      <c r="K209" s="7">
        <v>0</v>
      </c>
      <c r="L209" s="6"/>
      <c r="M209" s="7">
        <v>0</v>
      </c>
      <c r="N209" s="6"/>
      <c r="O209" s="7">
        <v>0</v>
      </c>
      <c r="P209" s="6"/>
      <c r="Q209" s="7">
        <v>0</v>
      </c>
      <c r="R209" s="6"/>
      <c r="S209" s="7">
        <v>0</v>
      </c>
      <c r="T209" s="6"/>
      <c r="U209" s="7">
        <v>0</v>
      </c>
      <c r="V209" s="6"/>
      <c r="W209" s="7">
        <v>0</v>
      </c>
      <c r="X209" s="6"/>
      <c r="Y209" s="7">
        <v>0</v>
      </c>
      <c r="Z209" s="6"/>
      <c r="AA209" s="7">
        <v>0</v>
      </c>
      <c r="AB209" s="6"/>
      <c r="AC209" s="7">
        <v>0</v>
      </c>
      <c r="AD209" s="6"/>
      <c r="AE209" s="7">
        <v>0</v>
      </c>
      <c r="AF209" s="6"/>
      <c r="AG209" s="7">
        <v>25416.2</v>
      </c>
      <c r="AH209" s="6"/>
      <c r="AI209" s="7">
        <v>2920</v>
      </c>
      <c r="AJ209" s="6"/>
      <c r="AK209" s="7">
        <v>0</v>
      </c>
      <c r="AL209" s="6"/>
      <c r="AM209" s="7">
        <v>0</v>
      </c>
      <c r="AN209" s="6"/>
      <c r="AO209" s="7">
        <v>0</v>
      </c>
      <c r="AP209" s="6"/>
      <c r="AQ209" s="7">
        <v>0</v>
      </c>
      <c r="AR209" s="6"/>
      <c r="AS209" s="7">
        <v>0</v>
      </c>
      <c r="AT209" s="6"/>
      <c r="AU209" s="7">
        <v>0</v>
      </c>
      <c r="AV209" s="6"/>
      <c r="AW209" s="7">
        <v>0</v>
      </c>
      <c r="AX209" s="6"/>
      <c r="AY209" s="7">
        <v>0</v>
      </c>
      <c r="AZ209" s="6"/>
      <c r="BA209" s="7">
        <v>0</v>
      </c>
      <c r="BB209" s="6"/>
      <c r="BC209" s="7">
        <v>0</v>
      </c>
      <c r="BD209" s="6"/>
      <c r="BE209" s="7">
        <v>0</v>
      </c>
      <c r="BF209" s="6"/>
      <c r="BG209" s="7">
        <v>0</v>
      </c>
      <c r="BH209" s="6"/>
      <c r="BI209" s="7">
        <v>0</v>
      </c>
      <c r="BJ209" s="6"/>
      <c r="BK209" s="7">
        <v>0</v>
      </c>
      <c r="BL209" s="6"/>
      <c r="BM209" s="7">
        <v>0</v>
      </c>
      <c r="BN209" s="6"/>
      <c r="BO209" s="7">
        <v>0</v>
      </c>
      <c r="BP209" s="6"/>
      <c r="BQ209" s="7">
        <f>ROUND(SUM(G209:BO209),5)</f>
        <v>28336.2</v>
      </c>
    </row>
    <row r="210" spans="1:69">
      <c r="A210" s="4"/>
      <c r="B210" s="4"/>
      <c r="C210" s="4"/>
      <c r="D210" s="4"/>
      <c r="E210" s="4"/>
      <c r="F210" s="4" t="s">
        <v>291</v>
      </c>
      <c r="G210" s="7">
        <v>0</v>
      </c>
      <c r="H210" s="6"/>
      <c r="I210" s="7">
        <v>0</v>
      </c>
      <c r="J210" s="6"/>
      <c r="K210" s="7">
        <v>0</v>
      </c>
      <c r="L210" s="6"/>
      <c r="M210" s="7">
        <v>0</v>
      </c>
      <c r="N210" s="6"/>
      <c r="O210" s="7">
        <v>0</v>
      </c>
      <c r="P210" s="6"/>
      <c r="Q210" s="7">
        <v>0</v>
      </c>
      <c r="R210" s="6"/>
      <c r="S210" s="7">
        <v>0</v>
      </c>
      <c r="T210" s="6"/>
      <c r="U210" s="7">
        <v>0</v>
      </c>
      <c r="V210" s="6"/>
      <c r="W210" s="7">
        <v>0</v>
      </c>
      <c r="X210" s="6"/>
      <c r="Y210" s="7">
        <v>0</v>
      </c>
      <c r="Z210" s="6"/>
      <c r="AA210" s="7">
        <v>0</v>
      </c>
      <c r="AB210" s="6"/>
      <c r="AC210" s="7">
        <v>0</v>
      </c>
      <c r="AD210" s="6"/>
      <c r="AE210" s="7">
        <v>0</v>
      </c>
      <c r="AF210" s="6"/>
      <c r="AG210" s="7">
        <v>0</v>
      </c>
      <c r="AH210" s="6"/>
      <c r="AI210" s="7">
        <v>2000</v>
      </c>
      <c r="AJ210" s="6"/>
      <c r="AK210" s="7">
        <v>0</v>
      </c>
      <c r="AL210" s="6"/>
      <c r="AM210" s="7">
        <v>0</v>
      </c>
      <c r="AN210" s="6"/>
      <c r="AO210" s="7">
        <v>0</v>
      </c>
      <c r="AP210" s="6"/>
      <c r="AQ210" s="7">
        <v>0</v>
      </c>
      <c r="AR210" s="6"/>
      <c r="AS210" s="7">
        <v>0</v>
      </c>
      <c r="AT210" s="6"/>
      <c r="AU210" s="7">
        <v>0</v>
      </c>
      <c r="AV210" s="6"/>
      <c r="AW210" s="7">
        <v>0</v>
      </c>
      <c r="AX210" s="6"/>
      <c r="AY210" s="7">
        <v>0</v>
      </c>
      <c r="AZ210" s="6"/>
      <c r="BA210" s="7">
        <v>0</v>
      </c>
      <c r="BB210" s="6"/>
      <c r="BC210" s="7">
        <v>0</v>
      </c>
      <c r="BD210" s="6"/>
      <c r="BE210" s="7">
        <v>0</v>
      </c>
      <c r="BF210" s="6"/>
      <c r="BG210" s="7">
        <v>0</v>
      </c>
      <c r="BH210" s="6"/>
      <c r="BI210" s="7">
        <v>0</v>
      </c>
      <c r="BJ210" s="6"/>
      <c r="BK210" s="7">
        <v>0</v>
      </c>
      <c r="BL210" s="6"/>
      <c r="BM210" s="7">
        <v>0</v>
      </c>
      <c r="BN210" s="6"/>
      <c r="BO210" s="7">
        <v>0</v>
      </c>
      <c r="BP210" s="6"/>
      <c r="BQ210" s="7">
        <f>ROUND(SUM(G210:BO210),5)</f>
        <v>2000</v>
      </c>
    </row>
    <row r="211" spans="1:69">
      <c r="A211" s="4"/>
      <c r="B211" s="4"/>
      <c r="C211" s="4"/>
      <c r="D211" s="4"/>
      <c r="E211" s="4"/>
      <c r="F211" s="4" t="s">
        <v>292</v>
      </c>
      <c r="G211" s="7">
        <v>0</v>
      </c>
      <c r="H211" s="6"/>
      <c r="I211" s="7">
        <v>0</v>
      </c>
      <c r="J211" s="6"/>
      <c r="K211" s="7">
        <v>0</v>
      </c>
      <c r="L211" s="6"/>
      <c r="M211" s="7">
        <v>0</v>
      </c>
      <c r="N211" s="6"/>
      <c r="O211" s="7">
        <v>0</v>
      </c>
      <c r="P211" s="6"/>
      <c r="Q211" s="7">
        <v>0</v>
      </c>
      <c r="R211" s="6"/>
      <c r="S211" s="7">
        <v>0</v>
      </c>
      <c r="T211" s="6"/>
      <c r="U211" s="7">
        <v>0</v>
      </c>
      <c r="V211" s="6"/>
      <c r="W211" s="7">
        <v>0</v>
      </c>
      <c r="X211" s="6"/>
      <c r="Y211" s="7">
        <v>0</v>
      </c>
      <c r="Z211" s="6"/>
      <c r="AA211" s="7">
        <v>0</v>
      </c>
      <c r="AB211" s="6"/>
      <c r="AC211" s="7">
        <v>0</v>
      </c>
      <c r="AD211" s="6"/>
      <c r="AE211" s="7">
        <v>0</v>
      </c>
      <c r="AF211" s="6"/>
      <c r="AG211" s="7">
        <v>1100</v>
      </c>
      <c r="AH211" s="6"/>
      <c r="AI211" s="7">
        <v>0</v>
      </c>
      <c r="AJ211" s="6"/>
      <c r="AK211" s="7">
        <v>0</v>
      </c>
      <c r="AL211" s="6"/>
      <c r="AM211" s="7">
        <v>0</v>
      </c>
      <c r="AN211" s="6"/>
      <c r="AO211" s="7">
        <v>0</v>
      </c>
      <c r="AP211" s="6"/>
      <c r="AQ211" s="7">
        <v>0</v>
      </c>
      <c r="AR211" s="6"/>
      <c r="AS211" s="7">
        <v>0</v>
      </c>
      <c r="AT211" s="6"/>
      <c r="AU211" s="7">
        <v>0</v>
      </c>
      <c r="AV211" s="6"/>
      <c r="AW211" s="7">
        <v>0</v>
      </c>
      <c r="AX211" s="6"/>
      <c r="AY211" s="7">
        <v>0</v>
      </c>
      <c r="AZ211" s="6"/>
      <c r="BA211" s="7">
        <v>0</v>
      </c>
      <c r="BB211" s="6"/>
      <c r="BC211" s="7">
        <v>0</v>
      </c>
      <c r="BD211" s="6"/>
      <c r="BE211" s="7">
        <v>0</v>
      </c>
      <c r="BF211" s="6"/>
      <c r="BG211" s="7">
        <v>0</v>
      </c>
      <c r="BH211" s="6"/>
      <c r="BI211" s="7">
        <v>0</v>
      </c>
      <c r="BJ211" s="6"/>
      <c r="BK211" s="7">
        <v>0</v>
      </c>
      <c r="BL211" s="6"/>
      <c r="BM211" s="7">
        <v>0</v>
      </c>
      <c r="BN211" s="6"/>
      <c r="BO211" s="7">
        <v>0</v>
      </c>
      <c r="BP211" s="6"/>
      <c r="BQ211" s="7">
        <f>ROUND(SUM(G211:BO211),5)</f>
        <v>1100</v>
      </c>
    </row>
    <row r="212" spans="1:69">
      <c r="A212" s="4"/>
      <c r="B212" s="4"/>
      <c r="C212" s="4"/>
      <c r="D212" s="4"/>
      <c r="E212" s="4"/>
      <c r="F212" s="4" t="s">
        <v>293</v>
      </c>
      <c r="G212" s="7">
        <v>0</v>
      </c>
      <c r="H212" s="6"/>
      <c r="I212" s="7">
        <v>0</v>
      </c>
      <c r="J212" s="6"/>
      <c r="K212" s="7">
        <v>0</v>
      </c>
      <c r="L212" s="6"/>
      <c r="M212" s="7">
        <v>0</v>
      </c>
      <c r="N212" s="6"/>
      <c r="O212" s="7">
        <v>0</v>
      </c>
      <c r="P212" s="6"/>
      <c r="Q212" s="7">
        <v>0</v>
      </c>
      <c r="R212" s="6"/>
      <c r="S212" s="7">
        <v>0</v>
      </c>
      <c r="T212" s="6"/>
      <c r="U212" s="7">
        <v>0</v>
      </c>
      <c r="V212" s="6"/>
      <c r="W212" s="7">
        <v>0</v>
      </c>
      <c r="X212" s="6"/>
      <c r="Y212" s="7">
        <v>0</v>
      </c>
      <c r="Z212" s="6"/>
      <c r="AA212" s="7">
        <v>0</v>
      </c>
      <c r="AB212" s="6"/>
      <c r="AC212" s="7">
        <v>0</v>
      </c>
      <c r="AD212" s="6"/>
      <c r="AE212" s="7">
        <v>0</v>
      </c>
      <c r="AF212" s="6"/>
      <c r="AG212" s="7">
        <v>2018.06</v>
      </c>
      <c r="AH212" s="6"/>
      <c r="AI212" s="7">
        <v>375.39</v>
      </c>
      <c r="AJ212" s="6"/>
      <c r="AK212" s="7">
        <v>0</v>
      </c>
      <c r="AL212" s="6"/>
      <c r="AM212" s="7">
        <v>0</v>
      </c>
      <c r="AN212" s="6"/>
      <c r="AO212" s="7">
        <v>0</v>
      </c>
      <c r="AP212" s="6"/>
      <c r="AQ212" s="7">
        <v>0</v>
      </c>
      <c r="AR212" s="6"/>
      <c r="AS212" s="7">
        <v>0</v>
      </c>
      <c r="AT212" s="6"/>
      <c r="AU212" s="7">
        <v>0</v>
      </c>
      <c r="AV212" s="6"/>
      <c r="AW212" s="7">
        <v>0</v>
      </c>
      <c r="AX212" s="6"/>
      <c r="AY212" s="7">
        <v>0</v>
      </c>
      <c r="AZ212" s="6"/>
      <c r="BA212" s="7">
        <v>0</v>
      </c>
      <c r="BB212" s="6"/>
      <c r="BC212" s="7">
        <v>0</v>
      </c>
      <c r="BD212" s="6"/>
      <c r="BE212" s="7">
        <v>0</v>
      </c>
      <c r="BF212" s="6"/>
      <c r="BG212" s="7">
        <v>0</v>
      </c>
      <c r="BH212" s="6"/>
      <c r="BI212" s="7">
        <v>0</v>
      </c>
      <c r="BJ212" s="6"/>
      <c r="BK212" s="7">
        <v>0</v>
      </c>
      <c r="BL212" s="6"/>
      <c r="BM212" s="7">
        <v>0</v>
      </c>
      <c r="BN212" s="6"/>
      <c r="BO212" s="7">
        <v>0</v>
      </c>
      <c r="BP212" s="6"/>
      <c r="BQ212" s="7">
        <f>ROUND(SUM(G212:BO212),5)</f>
        <v>2393.4499999999998</v>
      </c>
    </row>
    <row r="213" spans="1:69">
      <c r="A213" s="4"/>
      <c r="B213" s="4"/>
      <c r="C213" s="4"/>
      <c r="D213" s="4"/>
      <c r="E213" s="4"/>
      <c r="F213" s="4" t="s">
        <v>294</v>
      </c>
      <c r="G213" s="7">
        <v>0</v>
      </c>
      <c r="H213" s="6"/>
      <c r="I213" s="7">
        <v>0</v>
      </c>
      <c r="J213" s="6"/>
      <c r="K213" s="7">
        <v>0</v>
      </c>
      <c r="L213" s="6"/>
      <c r="M213" s="7">
        <v>0</v>
      </c>
      <c r="N213" s="6"/>
      <c r="O213" s="7">
        <v>0</v>
      </c>
      <c r="P213" s="6"/>
      <c r="Q213" s="7">
        <v>0</v>
      </c>
      <c r="R213" s="6"/>
      <c r="S213" s="7">
        <v>0</v>
      </c>
      <c r="T213" s="6"/>
      <c r="U213" s="7">
        <v>0</v>
      </c>
      <c r="V213" s="6"/>
      <c r="W213" s="7">
        <v>0</v>
      </c>
      <c r="X213" s="6"/>
      <c r="Y213" s="7">
        <v>0</v>
      </c>
      <c r="Z213" s="6"/>
      <c r="AA213" s="7">
        <v>0</v>
      </c>
      <c r="AB213" s="6"/>
      <c r="AC213" s="7">
        <v>0</v>
      </c>
      <c r="AD213" s="6"/>
      <c r="AE213" s="7">
        <v>0</v>
      </c>
      <c r="AF213" s="6"/>
      <c r="AG213" s="7">
        <v>147.26</v>
      </c>
      <c r="AH213" s="6"/>
      <c r="AI213" s="7">
        <v>0</v>
      </c>
      <c r="AJ213" s="6"/>
      <c r="AK213" s="7">
        <v>0</v>
      </c>
      <c r="AL213" s="6"/>
      <c r="AM213" s="7">
        <v>0</v>
      </c>
      <c r="AN213" s="6"/>
      <c r="AO213" s="7">
        <v>0</v>
      </c>
      <c r="AP213" s="6"/>
      <c r="AQ213" s="7">
        <v>0</v>
      </c>
      <c r="AR213" s="6"/>
      <c r="AS213" s="7">
        <v>0</v>
      </c>
      <c r="AT213" s="6"/>
      <c r="AU213" s="7">
        <v>0</v>
      </c>
      <c r="AV213" s="6"/>
      <c r="AW213" s="7">
        <v>0</v>
      </c>
      <c r="AX213" s="6"/>
      <c r="AY213" s="7">
        <v>0</v>
      </c>
      <c r="AZ213" s="6"/>
      <c r="BA213" s="7">
        <v>0</v>
      </c>
      <c r="BB213" s="6"/>
      <c r="BC213" s="7">
        <v>0</v>
      </c>
      <c r="BD213" s="6"/>
      <c r="BE213" s="7">
        <v>0</v>
      </c>
      <c r="BF213" s="6"/>
      <c r="BG213" s="7">
        <v>0</v>
      </c>
      <c r="BH213" s="6"/>
      <c r="BI213" s="7">
        <v>0</v>
      </c>
      <c r="BJ213" s="6"/>
      <c r="BK213" s="7">
        <v>0</v>
      </c>
      <c r="BL213" s="6"/>
      <c r="BM213" s="7">
        <v>0</v>
      </c>
      <c r="BN213" s="6"/>
      <c r="BO213" s="7">
        <v>0</v>
      </c>
      <c r="BP213" s="6"/>
      <c r="BQ213" s="7">
        <f>ROUND(SUM(G213:BO213),5)</f>
        <v>147.26</v>
      </c>
    </row>
    <row r="214" spans="1:69">
      <c r="A214" s="4"/>
      <c r="B214" s="4"/>
      <c r="C214" s="4"/>
      <c r="D214" s="4"/>
      <c r="E214" s="4"/>
      <c r="F214" s="4" t="s">
        <v>295</v>
      </c>
      <c r="G214" s="7">
        <v>0</v>
      </c>
      <c r="H214" s="6"/>
      <c r="I214" s="7">
        <v>0</v>
      </c>
      <c r="J214" s="6"/>
      <c r="K214" s="7">
        <v>0</v>
      </c>
      <c r="L214" s="6"/>
      <c r="M214" s="7">
        <v>0</v>
      </c>
      <c r="N214" s="6"/>
      <c r="O214" s="7">
        <v>0</v>
      </c>
      <c r="P214" s="6"/>
      <c r="Q214" s="7">
        <v>0</v>
      </c>
      <c r="R214" s="6"/>
      <c r="S214" s="7">
        <v>0</v>
      </c>
      <c r="T214" s="6"/>
      <c r="U214" s="7">
        <v>0</v>
      </c>
      <c r="V214" s="6"/>
      <c r="W214" s="7">
        <v>0</v>
      </c>
      <c r="X214" s="6"/>
      <c r="Y214" s="7">
        <v>0</v>
      </c>
      <c r="Z214" s="6"/>
      <c r="AA214" s="7">
        <v>0</v>
      </c>
      <c r="AB214" s="6"/>
      <c r="AC214" s="7">
        <v>0</v>
      </c>
      <c r="AD214" s="6"/>
      <c r="AE214" s="7">
        <v>0</v>
      </c>
      <c r="AF214" s="6"/>
      <c r="AG214" s="7">
        <v>0</v>
      </c>
      <c r="AH214" s="6"/>
      <c r="AI214" s="7">
        <v>0</v>
      </c>
      <c r="AJ214" s="6"/>
      <c r="AK214" s="7">
        <v>0</v>
      </c>
      <c r="AL214" s="6"/>
      <c r="AM214" s="7">
        <v>108.67</v>
      </c>
      <c r="AN214" s="6"/>
      <c r="AO214" s="7">
        <v>0</v>
      </c>
      <c r="AP214" s="6"/>
      <c r="AQ214" s="7">
        <v>0</v>
      </c>
      <c r="AR214" s="6"/>
      <c r="AS214" s="7">
        <v>0</v>
      </c>
      <c r="AT214" s="6"/>
      <c r="AU214" s="7">
        <v>0</v>
      </c>
      <c r="AV214" s="6"/>
      <c r="AW214" s="7">
        <v>0</v>
      </c>
      <c r="AX214" s="6"/>
      <c r="AY214" s="7">
        <v>0</v>
      </c>
      <c r="AZ214" s="6"/>
      <c r="BA214" s="7">
        <v>0</v>
      </c>
      <c r="BB214" s="6"/>
      <c r="BC214" s="7">
        <v>0</v>
      </c>
      <c r="BD214" s="6"/>
      <c r="BE214" s="7">
        <v>0</v>
      </c>
      <c r="BF214" s="6"/>
      <c r="BG214" s="7">
        <v>0</v>
      </c>
      <c r="BH214" s="6"/>
      <c r="BI214" s="7">
        <v>0</v>
      </c>
      <c r="BJ214" s="6"/>
      <c r="BK214" s="7">
        <v>0</v>
      </c>
      <c r="BL214" s="6"/>
      <c r="BM214" s="7">
        <v>0</v>
      </c>
      <c r="BN214" s="6"/>
      <c r="BO214" s="7">
        <v>0</v>
      </c>
      <c r="BP214" s="6"/>
      <c r="BQ214" s="7">
        <f>ROUND(SUM(G214:BO214),5)</f>
        <v>108.67</v>
      </c>
    </row>
    <row r="215" spans="1:69">
      <c r="A215" s="4"/>
      <c r="B215" s="4"/>
      <c r="C215" s="4"/>
      <c r="D215" s="4"/>
      <c r="E215" s="4"/>
      <c r="F215" s="4" t="s">
        <v>296</v>
      </c>
      <c r="G215" s="7">
        <v>0</v>
      </c>
      <c r="H215" s="6"/>
      <c r="I215" s="7">
        <v>0</v>
      </c>
      <c r="J215" s="6"/>
      <c r="K215" s="7">
        <v>0</v>
      </c>
      <c r="L215" s="6"/>
      <c r="M215" s="7">
        <v>0</v>
      </c>
      <c r="N215" s="6"/>
      <c r="O215" s="7">
        <v>0</v>
      </c>
      <c r="P215" s="6"/>
      <c r="Q215" s="7">
        <v>0</v>
      </c>
      <c r="R215" s="6"/>
      <c r="S215" s="7">
        <v>0</v>
      </c>
      <c r="T215" s="6"/>
      <c r="U215" s="7">
        <v>0</v>
      </c>
      <c r="V215" s="6"/>
      <c r="W215" s="7">
        <v>0</v>
      </c>
      <c r="X215" s="6"/>
      <c r="Y215" s="7">
        <v>0</v>
      </c>
      <c r="Z215" s="6"/>
      <c r="AA215" s="7">
        <v>0</v>
      </c>
      <c r="AB215" s="6"/>
      <c r="AC215" s="7">
        <v>0</v>
      </c>
      <c r="AD215" s="6"/>
      <c r="AE215" s="7">
        <v>0</v>
      </c>
      <c r="AF215" s="6"/>
      <c r="AG215" s="7">
        <v>3323.55</v>
      </c>
      <c r="AH215" s="6"/>
      <c r="AI215" s="7">
        <v>0</v>
      </c>
      <c r="AJ215" s="6"/>
      <c r="AK215" s="7">
        <v>0</v>
      </c>
      <c r="AL215" s="6"/>
      <c r="AM215" s="7">
        <v>1747.76</v>
      </c>
      <c r="AN215" s="6"/>
      <c r="AO215" s="7">
        <v>0</v>
      </c>
      <c r="AP215" s="6"/>
      <c r="AQ215" s="7">
        <v>0</v>
      </c>
      <c r="AR215" s="6"/>
      <c r="AS215" s="7">
        <v>0</v>
      </c>
      <c r="AT215" s="6"/>
      <c r="AU215" s="7">
        <v>0</v>
      </c>
      <c r="AV215" s="6"/>
      <c r="AW215" s="7">
        <v>0</v>
      </c>
      <c r="AX215" s="6"/>
      <c r="AY215" s="7">
        <v>0</v>
      </c>
      <c r="AZ215" s="6"/>
      <c r="BA215" s="7">
        <v>0</v>
      </c>
      <c r="BB215" s="6"/>
      <c r="BC215" s="7">
        <v>0</v>
      </c>
      <c r="BD215" s="6"/>
      <c r="BE215" s="7">
        <v>0</v>
      </c>
      <c r="BF215" s="6"/>
      <c r="BG215" s="7">
        <v>0</v>
      </c>
      <c r="BH215" s="6"/>
      <c r="BI215" s="7">
        <v>0</v>
      </c>
      <c r="BJ215" s="6"/>
      <c r="BK215" s="7">
        <v>0</v>
      </c>
      <c r="BL215" s="6"/>
      <c r="BM215" s="7">
        <v>0</v>
      </c>
      <c r="BN215" s="6"/>
      <c r="BO215" s="7">
        <v>0</v>
      </c>
      <c r="BP215" s="6"/>
      <c r="BQ215" s="7">
        <f>ROUND(SUM(G215:BO215),5)</f>
        <v>5071.3100000000004</v>
      </c>
    </row>
    <row r="216" spans="1:69" ht="15.75" thickBot="1">
      <c r="A216" s="4"/>
      <c r="B216" s="4"/>
      <c r="C216" s="4"/>
      <c r="D216" s="4"/>
      <c r="E216" s="4"/>
      <c r="F216" s="4" t="s">
        <v>297</v>
      </c>
      <c r="G216" s="9">
        <v>0</v>
      </c>
      <c r="H216" s="6"/>
      <c r="I216" s="9">
        <v>0</v>
      </c>
      <c r="J216" s="6"/>
      <c r="K216" s="9">
        <v>0</v>
      </c>
      <c r="L216" s="6"/>
      <c r="M216" s="9">
        <v>0</v>
      </c>
      <c r="N216" s="6"/>
      <c r="O216" s="9">
        <v>0</v>
      </c>
      <c r="P216" s="6"/>
      <c r="Q216" s="9">
        <v>0</v>
      </c>
      <c r="R216" s="6"/>
      <c r="S216" s="9">
        <v>0</v>
      </c>
      <c r="T216" s="6"/>
      <c r="U216" s="9">
        <v>0</v>
      </c>
      <c r="V216" s="6"/>
      <c r="W216" s="9">
        <v>0</v>
      </c>
      <c r="X216" s="6"/>
      <c r="Y216" s="9">
        <v>0</v>
      </c>
      <c r="Z216" s="6"/>
      <c r="AA216" s="9">
        <v>0</v>
      </c>
      <c r="AB216" s="6"/>
      <c r="AC216" s="9">
        <v>0</v>
      </c>
      <c r="AD216" s="6"/>
      <c r="AE216" s="9">
        <v>0</v>
      </c>
      <c r="AF216" s="6"/>
      <c r="AG216" s="9">
        <v>0</v>
      </c>
      <c r="AH216" s="6"/>
      <c r="AI216" s="9">
        <v>0</v>
      </c>
      <c r="AJ216" s="6"/>
      <c r="AK216" s="9">
        <v>0</v>
      </c>
      <c r="AL216" s="6"/>
      <c r="AM216" s="9">
        <v>336.88</v>
      </c>
      <c r="AN216" s="6"/>
      <c r="AO216" s="9">
        <v>0</v>
      </c>
      <c r="AP216" s="6"/>
      <c r="AQ216" s="9">
        <v>0</v>
      </c>
      <c r="AR216" s="6"/>
      <c r="AS216" s="9">
        <v>0</v>
      </c>
      <c r="AT216" s="6"/>
      <c r="AU216" s="9">
        <v>0</v>
      </c>
      <c r="AV216" s="6"/>
      <c r="AW216" s="9">
        <v>0</v>
      </c>
      <c r="AX216" s="6"/>
      <c r="AY216" s="9">
        <v>0</v>
      </c>
      <c r="AZ216" s="6"/>
      <c r="BA216" s="9">
        <v>0</v>
      </c>
      <c r="BB216" s="6"/>
      <c r="BC216" s="9">
        <v>0</v>
      </c>
      <c r="BD216" s="6"/>
      <c r="BE216" s="9">
        <v>0</v>
      </c>
      <c r="BF216" s="6"/>
      <c r="BG216" s="9">
        <v>0</v>
      </c>
      <c r="BH216" s="6"/>
      <c r="BI216" s="9">
        <v>0</v>
      </c>
      <c r="BJ216" s="6"/>
      <c r="BK216" s="9">
        <v>0</v>
      </c>
      <c r="BL216" s="6"/>
      <c r="BM216" s="9">
        <v>0</v>
      </c>
      <c r="BN216" s="6"/>
      <c r="BO216" s="9">
        <v>0</v>
      </c>
      <c r="BP216" s="6"/>
      <c r="BQ216" s="9">
        <f>ROUND(SUM(G216:BO216),5)</f>
        <v>336.88</v>
      </c>
    </row>
    <row r="217" spans="1:69">
      <c r="A217" s="4"/>
      <c r="B217" s="4"/>
      <c r="C217" s="4"/>
      <c r="D217" s="4"/>
      <c r="E217" s="4" t="s">
        <v>298</v>
      </c>
      <c r="F217" s="4"/>
      <c r="G217" s="7">
        <f>ROUND(SUM(G208:G216),5)</f>
        <v>0</v>
      </c>
      <c r="H217" s="6"/>
      <c r="I217" s="7">
        <f>ROUND(SUM(I208:I216),5)</f>
        <v>0</v>
      </c>
      <c r="J217" s="6"/>
      <c r="K217" s="7">
        <f>ROUND(SUM(K208:K216),5)</f>
        <v>0</v>
      </c>
      <c r="L217" s="6"/>
      <c r="M217" s="7">
        <f>ROUND(SUM(M208:M216),5)</f>
        <v>0</v>
      </c>
      <c r="N217" s="6"/>
      <c r="O217" s="7">
        <f>ROUND(SUM(O208:O216),5)</f>
        <v>0</v>
      </c>
      <c r="P217" s="6"/>
      <c r="Q217" s="7">
        <f>ROUND(SUM(Q208:Q216),5)</f>
        <v>0</v>
      </c>
      <c r="R217" s="6"/>
      <c r="S217" s="7">
        <f>ROUND(SUM(S208:S216),5)</f>
        <v>0</v>
      </c>
      <c r="T217" s="6"/>
      <c r="U217" s="7">
        <f>ROUND(SUM(U208:U216),5)</f>
        <v>0</v>
      </c>
      <c r="V217" s="6"/>
      <c r="W217" s="7">
        <f>ROUND(SUM(W208:W216),5)</f>
        <v>0</v>
      </c>
      <c r="X217" s="6"/>
      <c r="Y217" s="7">
        <f>ROUND(SUM(Y208:Y216),5)</f>
        <v>0</v>
      </c>
      <c r="Z217" s="6"/>
      <c r="AA217" s="7">
        <f>ROUND(SUM(AA208:AA216),5)</f>
        <v>0</v>
      </c>
      <c r="AB217" s="6"/>
      <c r="AC217" s="7">
        <f>ROUND(SUM(AC208:AC216),5)</f>
        <v>0</v>
      </c>
      <c r="AD217" s="6"/>
      <c r="AE217" s="7">
        <f>ROUND(SUM(AE208:AE216),5)</f>
        <v>0</v>
      </c>
      <c r="AF217" s="6"/>
      <c r="AG217" s="7">
        <f>ROUND(SUM(AG208:AG216),5)</f>
        <v>32005.07</v>
      </c>
      <c r="AH217" s="6"/>
      <c r="AI217" s="7">
        <f>ROUND(SUM(AI208:AI216),5)</f>
        <v>5295.39</v>
      </c>
      <c r="AJ217" s="6"/>
      <c r="AK217" s="7">
        <f>ROUND(SUM(AK208:AK216),5)</f>
        <v>0</v>
      </c>
      <c r="AL217" s="6"/>
      <c r="AM217" s="7">
        <f>ROUND(SUM(AM208:AM216),5)</f>
        <v>2193.31</v>
      </c>
      <c r="AN217" s="6"/>
      <c r="AO217" s="7">
        <f>ROUND(SUM(AO208:AO216),5)</f>
        <v>0</v>
      </c>
      <c r="AP217" s="6"/>
      <c r="AQ217" s="7">
        <f>ROUND(SUM(AQ208:AQ216),5)</f>
        <v>0</v>
      </c>
      <c r="AR217" s="6"/>
      <c r="AS217" s="7">
        <f>ROUND(SUM(AS208:AS216),5)</f>
        <v>0</v>
      </c>
      <c r="AT217" s="6"/>
      <c r="AU217" s="7">
        <f>ROUND(SUM(AU208:AU216),5)</f>
        <v>0</v>
      </c>
      <c r="AV217" s="6"/>
      <c r="AW217" s="7">
        <f>ROUND(SUM(AW208:AW216),5)</f>
        <v>0</v>
      </c>
      <c r="AX217" s="6"/>
      <c r="AY217" s="7">
        <f>ROUND(SUM(AY208:AY216),5)</f>
        <v>0</v>
      </c>
      <c r="AZ217" s="6"/>
      <c r="BA217" s="7">
        <f>ROUND(SUM(BA208:BA216),5)</f>
        <v>0</v>
      </c>
      <c r="BB217" s="6"/>
      <c r="BC217" s="7">
        <f>ROUND(SUM(BC208:BC216),5)</f>
        <v>0</v>
      </c>
      <c r="BD217" s="6"/>
      <c r="BE217" s="7">
        <f>ROUND(SUM(BE208:BE216),5)</f>
        <v>0</v>
      </c>
      <c r="BF217" s="6"/>
      <c r="BG217" s="7">
        <f>ROUND(SUM(BG208:BG216),5)</f>
        <v>0</v>
      </c>
      <c r="BH217" s="6"/>
      <c r="BI217" s="7">
        <f>ROUND(SUM(BI208:BI216),5)</f>
        <v>0</v>
      </c>
      <c r="BJ217" s="6"/>
      <c r="BK217" s="7">
        <f>ROUND(SUM(BK208:BK216),5)</f>
        <v>0</v>
      </c>
      <c r="BL217" s="6"/>
      <c r="BM217" s="7">
        <f>ROUND(SUM(BM208:BM216),5)</f>
        <v>0</v>
      </c>
      <c r="BN217" s="6"/>
      <c r="BO217" s="7">
        <f>ROUND(SUM(BO208:BO216),5)</f>
        <v>0</v>
      </c>
      <c r="BP217" s="6"/>
      <c r="BQ217" s="7">
        <f>ROUND(SUM(G217:BO217),5)</f>
        <v>39493.769999999997</v>
      </c>
    </row>
    <row r="218" spans="1:69">
      <c r="A218" s="4"/>
      <c r="B218" s="4"/>
      <c r="C218" s="4"/>
      <c r="D218" s="4"/>
      <c r="E218" s="4" t="s">
        <v>299</v>
      </c>
      <c r="F218" s="4"/>
      <c r="G218" s="7"/>
      <c r="H218" s="6"/>
      <c r="I218" s="7"/>
      <c r="J218" s="6"/>
      <c r="K218" s="7"/>
      <c r="L218" s="6"/>
      <c r="M218" s="7"/>
      <c r="N218" s="6"/>
      <c r="O218" s="7"/>
      <c r="P218" s="6"/>
      <c r="Q218" s="7"/>
      <c r="R218" s="6"/>
      <c r="S218" s="7"/>
      <c r="T218" s="6"/>
      <c r="U218" s="7"/>
      <c r="V218" s="6"/>
      <c r="W218" s="7"/>
      <c r="X218" s="6"/>
      <c r="Y218" s="7"/>
      <c r="Z218" s="6"/>
      <c r="AA218" s="7"/>
      <c r="AB218" s="6"/>
      <c r="AC218" s="7"/>
      <c r="AD218" s="6"/>
      <c r="AE218" s="7"/>
      <c r="AF218" s="6"/>
      <c r="AG218" s="7"/>
      <c r="AH218" s="6"/>
      <c r="AI218" s="7"/>
      <c r="AJ218" s="6"/>
      <c r="AK218" s="7"/>
      <c r="AL218" s="6"/>
      <c r="AM218" s="7"/>
      <c r="AN218" s="6"/>
      <c r="AO218" s="7"/>
      <c r="AP218" s="6"/>
      <c r="AQ218" s="7"/>
      <c r="AR218" s="6"/>
      <c r="AS218" s="7"/>
      <c r="AT218" s="6"/>
      <c r="AU218" s="7"/>
      <c r="AV218" s="6"/>
      <c r="AW218" s="7"/>
      <c r="AX218" s="6"/>
      <c r="AY218" s="7"/>
      <c r="AZ218" s="6"/>
      <c r="BA218" s="7"/>
      <c r="BB218" s="6"/>
      <c r="BC218" s="7"/>
      <c r="BD218" s="6"/>
      <c r="BE218" s="7"/>
      <c r="BF218" s="6"/>
      <c r="BG218" s="7"/>
      <c r="BH218" s="6"/>
      <c r="BI218" s="7"/>
      <c r="BJ218" s="6"/>
      <c r="BK218" s="7"/>
      <c r="BL218" s="6"/>
      <c r="BM218" s="7"/>
      <c r="BN218" s="6"/>
      <c r="BO218" s="7"/>
      <c r="BP218" s="6"/>
      <c r="BQ218" s="7"/>
    </row>
    <row r="219" spans="1:69" ht="15.75" thickBot="1">
      <c r="A219" s="4"/>
      <c r="B219" s="4"/>
      <c r="C219" s="4"/>
      <c r="D219" s="4"/>
      <c r="E219" s="4"/>
      <c r="F219" s="4" t="s">
        <v>300</v>
      </c>
      <c r="G219" s="9">
        <v>0</v>
      </c>
      <c r="H219" s="6"/>
      <c r="I219" s="9">
        <v>0</v>
      </c>
      <c r="J219" s="6"/>
      <c r="K219" s="9">
        <v>0</v>
      </c>
      <c r="L219" s="6"/>
      <c r="M219" s="9">
        <v>0</v>
      </c>
      <c r="N219" s="6"/>
      <c r="O219" s="9">
        <v>0</v>
      </c>
      <c r="P219" s="6"/>
      <c r="Q219" s="9">
        <v>0</v>
      </c>
      <c r="R219" s="6"/>
      <c r="S219" s="9">
        <v>0</v>
      </c>
      <c r="T219" s="6"/>
      <c r="U219" s="9">
        <v>0</v>
      </c>
      <c r="V219" s="6"/>
      <c r="W219" s="9">
        <v>0</v>
      </c>
      <c r="X219" s="6"/>
      <c r="Y219" s="9">
        <v>0</v>
      </c>
      <c r="Z219" s="6"/>
      <c r="AA219" s="9">
        <v>0</v>
      </c>
      <c r="AB219" s="6"/>
      <c r="AC219" s="9">
        <v>0</v>
      </c>
      <c r="AD219" s="6"/>
      <c r="AE219" s="9">
        <v>0</v>
      </c>
      <c r="AF219" s="6"/>
      <c r="AG219" s="9">
        <v>72802.009999999995</v>
      </c>
      <c r="AH219" s="6"/>
      <c r="AI219" s="9">
        <v>9585.85</v>
      </c>
      <c r="AJ219" s="6"/>
      <c r="AK219" s="9">
        <v>0</v>
      </c>
      <c r="AL219" s="6"/>
      <c r="AM219" s="9">
        <v>123005.31</v>
      </c>
      <c r="AN219" s="6"/>
      <c r="AO219" s="9">
        <v>0</v>
      </c>
      <c r="AP219" s="6"/>
      <c r="AQ219" s="9">
        <v>0</v>
      </c>
      <c r="AR219" s="6"/>
      <c r="AS219" s="9">
        <v>0</v>
      </c>
      <c r="AT219" s="6"/>
      <c r="AU219" s="9">
        <v>0</v>
      </c>
      <c r="AV219" s="6"/>
      <c r="AW219" s="9">
        <v>0</v>
      </c>
      <c r="AX219" s="6"/>
      <c r="AY219" s="9">
        <v>0</v>
      </c>
      <c r="AZ219" s="6"/>
      <c r="BA219" s="9">
        <v>0</v>
      </c>
      <c r="BB219" s="6"/>
      <c r="BC219" s="9">
        <v>0</v>
      </c>
      <c r="BD219" s="6"/>
      <c r="BE219" s="9">
        <v>0</v>
      </c>
      <c r="BF219" s="6"/>
      <c r="BG219" s="9">
        <v>0</v>
      </c>
      <c r="BH219" s="6"/>
      <c r="BI219" s="9">
        <v>0</v>
      </c>
      <c r="BJ219" s="6"/>
      <c r="BK219" s="9">
        <v>0</v>
      </c>
      <c r="BL219" s="6"/>
      <c r="BM219" s="9">
        <v>0</v>
      </c>
      <c r="BN219" s="6"/>
      <c r="BO219" s="9">
        <v>0</v>
      </c>
      <c r="BP219" s="6"/>
      <c r="BQ219" s="9">
        <f>ROUND(SUM(G219:BO219),5)</f>
        <v>205393.17</v>
      </c>
    </row>
    <row r="220" spans="1:69">
      <c r="A220" s="4"/>
      <c r="B220" s="4"/>
      <c r="C220" s="4"/>
      <c r="D220" s="4"/>
      <c r="E220" s="4" t="s">
        <v>301</v>
      </c>
      <c r="F220" s="4"/>
      <c r="G220" s="7">
        <f>ROUND(SUM(G218:G219),5)</f>
        <v>0</v>
      </c>
      <c r="H220" s="6"/>
      <c r="I220" s="7">
        <f>ROUND(SUM(I218:I219),5)</f>
        <v>0</v>
      </c>
      <c r="J220" s="6"/>
      <c r="K220" s="7">
        <f>ROUND(SUM(K218:K219),5)</f>
        <v>0</v>
      </c>
      <c r="L220" s="6"/>
      <c r="M220" s="7">
        <f>ROUND(SUM(M218:M219),5)</f>
        <v>0</v>
      </c>
      <c r="N220" s="6"/>
      <c r="O220" s="7">
        <f>ROUND(SUM(O218:O219),5)</f>
        <v>0</v>
      </c>
      <c r="P220" s="6"/>
      <c r="Q220" s="7">
        <f>ROUND(SUM(Q218:Q219),5)</f>
        <v>0</v>
      </c>
      <c r="R220" s="6"/>
      <c r="S220" s="7">
        <f>ROUND(SUM(S218:S219),5)</f>
        <v>0</v>
      </c>
      <c r="T220" s="6"/>
      <c r="U220" s="7">
        <f>ROUND(SUM(U218:U219),5)</f>
        <v>0</v>
      </c>
      <c r="V220" s="6"/>
      <c r="W220" s="7">
        <f>ROUND(SUM(W218:W219),5)</f>
        <v>0</v>
      </c>
      <c r="X220" s="6"/>
      <c r="Y220" s="7">
        <f>ROUND(SUM(Y218:Y219),5)</f>
        <v>0</v>
      </c>
      <c r="Z220" s="6"/>
      <c r="AA220" s="7">
        <f>ROUND(SUM(AA218:AA219),5)</f>
        <v>0</v>
      </c>
      <c r="AB220" s="6"/>
      <c r="AC220" s="7">
        <f>ROUND(SUM(AC218:AC219),5)</f>
        <v>0</v>
      </c>
      <c r="AD220" s="6"/>
      <c r="AE220" s="7">
        <f>ROUND(SUM(AE218:AE219),5)</f>
        <v>0</v>
      </c>
      <c r="AF220" s="6"/>
      <c r="AG220" s="7">
        <f>ROUND(SUM(AG218:AG219),5)</f>
        <v>72802.009999999995</v>
      </c>
      <c r="AH220" s="6"/>
      <c r="AI220" s="7">
        <f>ROUND(SUM(AI218:AI219),5)</f>
        <v>9585.85</v>
      </c>
      <c r="AJ220" s="6"/>
      <c r="AK220" s="7">
        <f>ROUND(SUM(AK218:AK219),5)</f>
        <v>0</v>
      </c>
      <c r="AL220" s="6"/>
      <c r="AM220" s="7">
        <f>ROUND(SUM(AM218:AM219),5)</f>
        <v>123005.31</v>
      </c>
      <c r="AN220" s="6"/>
      <c r="AO220" s="7">
        <f>ROUND(SUM(AO218:AO219),5)</f>
        <v>0</v>
      </c>
      <c r="AP220" s="6"/>
      <c r="AQ220" s="7">
        <f>ROUND(SUM(AQ218:AQ219),5)</f>
        <v>0</v>
      </c>
      <c r="AR220" s="6"/>
      <c r="AS220" s="7">
        <f>ROUND(SUM(AS218:AS219),5)</f>
        <v>0</v>
      </c>
      <c r="AT220" s="6"/>
      <c r="AU220" s="7">
        <f>ROUND(SUM(AU218:AU219),5)</f>
        <v>0</v>
      </c>
      <c r="AV220" s="6"/>
      <c r="AW220" s="7">
        <f>ROUND(SUM(AW218:AW219),5)</f>
        <v>0</v>
      </c>
      <c r="AX220" s="6"/>
      <c r="AY220" s="7">
        <f>ROUND(SUM(AY218:AY219),5)</f>
        <v>0</v>
      </c>
      <c r="AZ220" s="6"/>
      <c r="BA220" s="7">
        <f>ROUND(SUM(BA218:BA219),5)</f>
        <v>0</v>
      </c>
      <c r="BB220" s="6"/>
      <c r="BC220" s="7">
        <f>ROUND(SUM(BC218:BC219),5)</f>
        <v>0</v>
      </c>
      <c r="BD220" s="6"/>
      <c r="BE220" s="7">
        <f>ROUND(SUM(BE218:BE219),5)</f>
        <v>0</v>
      </c>
      <c r="BF220" s="6"/>
      <c r="BG220" s="7">
        <f>ROUND(SUM(BG218:BG219),5)</f>
        <v>0</v>
      </c>
      <c r="BH220" s="6"/>
      <c r="BI220" s="7">
        <f>ROUND(SUM(BI218:BI219),5)</f>
        <v>0</v>
      </c>
      <c r="BJ220" s="6"/>
      <c r="BK220" s="7">
        <f>ROUND(SUM(BK218:BK219),5)</f>
        <v>0</v>
      </c>
      <c r="BL220" s="6"/>
      <c r="BM220" s="7">
        <f>ROUND(SUM(BM218:BM219),5)</f>
        <v>0</v>
      </c>
      <c r="BN220" s="6"/>
      <c r="BO220" s="7">
        <f>ROUND(SUM(BO218:BO219),5)</f>
        <v>0</v>
      </c>
      <c r="BP220" s="6"/>
      <c r="BQ220" s="7">
        <f>ROUND(SUM(G220:BO220),5)</f>
        <v>205393.17</v>
      </c>
    </row>
    <row r="221" spans="1:69">
      <c r="A221" s="4"/>
      <c r="B221" s="4"/>
      <c r="C221" s="4"/>
      <c r="D221" s="4"/>
      <c r="E221" s="4" t="s">
        <v>302</v>
      </c>
      <c r="F221" s="4"/>
      <c r="G221" s="7"/>
      <c r="H221" s="6"/>
      <c r="I221" s="7"/>
      <c r="J221" s="6"/>
      <c r="K221" s="7"/>
      <c r="L221" s="6"/>
      <c r="M221" s="7"/>
      <c r="N221" s="6"/>
      <c r="O221" s="7"/>
      <c r="P221" s="6"/>
      <c r="Q221" s="7"/>
      <c r="R221" s="6"/>
      <c r="S221" s="7"/>
      <c r="T221" s="6"/>
      <c r="U221" s="7"/>
      <c r="V221" s="6"/>
      <c r="W221" s="7"/>
      <c r="X221" s="6"/>
      <c r="Y221" s="7"/>
      <c r="Z221" s="6"/>
      <c r="AA221" s="7"/>
      <c r="AB221" s="6"/>
      <c r="AC221" s="7"/>
      <c r="AD221" s="6"/>
      <c r="AE221" s="7"/>
      <c r="AF221" s="6"/>
      <c r="AG221" s="7"/>
      <c r="AH221" s="6"/>
      <c r="AI221" s="7"/>
      <c r="AJ221" s="6"/>
      <c r="AK221" s="7"/>
      <c r="AL221" s="6"/>
      <c r="AM221" s="7"/>
      <c r="AN221" s="6"/>
      <c r="AO221" s="7"/>
      <c r="AP221" s="6"/>
      <c r="AQ221" s="7"/>
      <c r="AR221" s="6"/>
      <c r="AS221" s="7"/>
      <c r="AT221" s="6"/>
      <c r="AU221" s="7"/>
      <c r="AV221" s="6"/>
      <c r="AW221" s="7"/>
      <c r="AX221" s="6"/>
      <c r="AY221" s="7"/>
      <c r="AZ221" s="6"/>
      <c r="BA221" s="7"/>
      <c r="BB221" s="6"/>
      <c r="BC221" s="7"/>
      <c r="BD221" s="6"/>
      <c r="BE221" s="7"/>
      <c r="BF221" s="6"/>
      <c r="BG221" s="7"/>
      <c r="BH221" s="6"/>
      <c r="BI221" s="7"/>
      <c r="BJ221" s="6"/>
      <c r="BK221" s="7"/>
      <c r="BL221" s="6"/>
      <c r="BM221" s="7"/>
      <c r="BN221" s="6"/>
      <c r="BO221" s="7"/>
      <c r="BP221" s="6"/>
      <c r="BQ221" s="7"/>
    </row>
    <row r="222" spans="1:69" ht="15.75" thickBot="1">
      <c r="A222" s="4"/>
      <c r="B222" s="4"/>
      <c r="C222" s="4"/>
      <c r="D222" s="4"/>
      <c r="E222" s="4"/>
      <c r="F222" s="4" t="s">
        <v>303</v>
      </c>
      <c r="G222" s="9">
        <v>0</v>
      </c>
      <c r="H222" s="6"/>
      <c r="I222" s="9">
        <v>0</v>
      </c>
      <c r="J222" s="6"/>
      <c r="K222" s="9">
        <v>0</v>
      </c>
      <c r="L222" s="6"/>
      <c r="M222" s="9">
        <v>0</v>
      </c>
      <c r="N222" s="6"/>
      <c r="O222" s="9">
        <v>0</v>
      </c>
      <c r="P222" s="6"/>
      <c r="Q222" s="9">
        <v>0</v>
      </c>
      <c r="R222" s="6"/>
      <c r="S222" s="9">
        <v>0</v>
      </c>
      <c r="T222" s="6"/>
      <c r="U222" s="9">
        <v>0</v>
      </c>
      <c r="V222" s="6"/>
      <c r="W222" s="9">
        <v>0</v>
      </c>
      <c r="X222" s="6"/>
      <c r="Y222" s="9">
        <v>0</v>
      </c>
      <c r="Z222" s="6"/>
      <c r="AA222" s="9">
        <v>0</v>
      </c>
      <c r="AB222" s="6"/>
      <c r="AC222" s="9">
        <v>0</v>
      </c>
      <c r="AD222" s="6"/>
      <c r="AE222" s="9">
        <v>0</v>
      </c>
      <c r="AF222" s="6"/>
      <c r="AG222" s="9">
        <v>9578.6200000000008</v>
      </c>
      <c r="AH222" s="6"/>
      <c r="AI222" s="9">
        <v>0</v>
      </c>
      <c r="AJ222" s="6"/>
      <c r="AK222" s="9">
        <v>0</v>
      </c>
      <c r="AL222" s="6"/>
      <c r="AM222" s="9">
        <v>0</v>
      </c>
      <c r="AN222" s="6"/>
      <c r="AO222" s="9">
        <v>0</v>
      </c>
      <c r="AP222" s="6"/>
      <c r="AQ222" s="9">
        <v>0</v>
      </c>
      <c r="AR222" s="6"/>
      <c r="AS222" s="9">
        <v>0</v>
      </c>
      <c r="AT222" s="6"/>
      <c r="AU222" s="9">
        <v>0</v>
      </c>
      <c r="AV222" s="6"/>
      <c r="AW222" s="9">
        <v>0</v>
      </c>
      <c r="AX222" s="6"/>
      <c r="AY222" s="9">
        <v>0</v>
      </c>
      <c r="AZ222" s="6"/>
      <c r="BA222" s="9">
        <v>0</v>
      </c>
      <c r="BB222" s="6"/>
      <c r="BC222" s="9">
        <v>0</v>
      </c>
      <c r="BD222" s="6"/>
      <c r="BE222" s="9">
        <v>0</v>
      </c>
      <c r="BF222" s="6"/>
      <c r="BG222" s="9">
        <v>0</v>
      </c>
      <c r="BH222" s="6"/>
      <c r="BI222" s="9">
        <v>0</v>
      </c>
      <c r="BJ222" s="6"/>
      <c r="BK222" s="9">
        <v>0</v>
      </c>
      <c r="BL222" s="6"/>
      <c r="BM222" s="9">
        <v>0</v>
      </c>
      <c r="BN222" s="6"/>
      <c r="BO222" s="9">
        <v>0</v>
      </c>
      <c r="BP222" s="6"/>
      <c r="BQ222" s="9">
        <f>ROUND(SUM(G222:BO222),5)</f>
        <v>9578.6200000000008</v>
      </c>
    </row>
    <row r="223" spans="1:69">
      <c r="A223" s="4"/>
      <c r="B223" s="4"/>
      <c r="C223" s="4"/>
      <c r="D223" s="4"/>
      <c r="E223" s="4" t="s">
        <v>304</v>
      </c>
      <c r="F223" s="4"/>
      <c r="G223" s="7">
        <f>ROUND(SUM(G221:G222),5)</f>
        <v>0</v>
      </c>
      <c r="H223" s="6"/>
      <c r="I223" s="7">
        <f>ROUND(SUM(I221:I222),5)</f>
        <v>0</v>
      </c>
      <c r="J223" s="6"/>
      <c r="K223" s="7">
        <f>ROUND(SUM(K221:K222),5)</f>
        <v>0</v>
      </c>
      <c r="L223" s="6"/>
      <c r="M223" s="7">
        <f>ROUND(SUM(M221:M222),5)</f>
        <v>0</v>
      </c>
      <c r="N223" s="6"/>
      <c r="O223" s="7">
        <f>ROUND(SUM(O221:O222),5)</f>
        <v>0</v>
      </c>
      <c r="P223" s="6"/>
      <c r="Q223" s="7">
        <f>ROUND(SUM(Q221:Q222),5)</f>
        <v>0</v>
      </c>
      <c r="R223" s="6"/>
      <c r="S223" s="7">
        <f>ROUND(SUM(S221:S222),5)</f>
        <v>0</v>
      </c>
      <c r="T223" s="6"/>
      <c r="U223" s="7">
        <f>ROUND(SUM(U221:U222),5)</f>
        <v>0</v>
      </c>
      <c r="V223" s="6"/>
      <c r="W223" s="7">
        <f>ROUND(SUM(W221:W222),5)</f>
        <v>0</v>
      </c>
      <c r="X223" s="6"/>
      <c r="Y223" s="7">
        <f>ROUND(SUM(Y221:Y222),5)</f>
        <v>0</v>
      </c>
      <c r="Z223" s="6"/>
      <c r="AA223" s="7">
        <f>ROUND(SUM(AA221:AA222),5)</f>
        <v>0</v>
      </c>
      <c r="AB223" s="6"/>
      <c r="AC223" s="7">
        <f>ROUND(SUM(AC221:AC222),5)</f>
        <v>0</v>
      </c>
      <c r="AD223" s="6"/>
      <c r="AE223" s="7">
        <f>ROUND(SUM(AE221:AE222),5)</f>
        <v>0</v>
      </c>
      <c r="AF223" s="6"/>
      <c r="AG223" s="7">
        <f>ROUND(SUM(AG221:AG222),5)</f>
        <v>9578.6200000000008</v>
      </c>
      <c r="AH223" s="6"/>
      <c r="AI223" s="7">
        <f>ROUND(SUM(AI221:AI222),5)</f>
        <v>0</v>
      </c>
      <c r="AJ223" s="6"/>
      <c r="AK223" s="7">
        <f>ROUND(SUM(AK221:AK222),5)</f>
        <v>0</v>
      </c>
      <c r="AL223" s="6"/>
      <c r="AM223" s="7">
        <f>ROUND(SUM(AM221:AM222),5)</f>
        <v>0</v>
      </c>
      <c r="AN223" s="6"/>
      <c r="AO223" s="7">
        <f>ROUND(SUM(AO221:AO222),5)</f>
        <v>0</v>
      </c>
      <c r="AP223" s="6"/>
      <c r="AQ223" s="7">
        <f>ROUND(SUM(AQ221:AQ222),5)</f>
        <v>0</v>
      </c>
      <c r="AR223" s="6"/>
      <c r="AS223" s="7">
        <f>ROUND(SUM(AS221:AS222),5)</f>
        <v>0</v>
      </c>
      <c r="AT223" s="6"/>
      <c r="AU223" s="7">
        <f>ROUND(SUM(AU221:AU222),5)</f>
        <v>0</v>
      </c>
      <c r="AV223" s="6"/>
      <c r="AW223" s="7">
        <f>ROUND(SUM(AW221:AW222),5)</f>
        <v>0</v>
      </c>
      <c r="AX223" s="6"/>
      <c r="AY223" s="7">
        <f>ROUND(SUM(AY221:AY222),5)</f>
        <v>0</v>
      </c>
      <c r="AZ223" s="6"/>
      <c r="BA223" s="7">
        <f>ROUND(SUM(BA221:BA222),5)</f>
        <v>0</v>
      </c>
      <c r="BB223" s="6"/>
      <c r="BC223" s="7">
        <f>ROUND(SUM(BC221:BC222),5)</f>
        <v>0</v>
      </c>
      <c r="BD223" s="6"/>
      <c r="BE223" s="7">
        <f>ROUND(SUM(BE221:BE222),5)</f>
        <v>0</v>
      </c>
      <c r="BF223" s="6"/>
      <c r="BG223" s="7">
        <f>ROUND(SUM(BG221:BG222),5)</f>
        <v>0</v>
      </c>
      <c r="BH223" s="6"/>
      <c r="BI223" s="7">
        <f>ROUND(SUM(BI221:BI222),5)</f>
        <v>0</v>
      </c>
      <c r="BJ223" s="6"/>
      <c r="BK223" s="7">
        <f>ROUND(SUM(BK221:BK222),5)</f>
        <v>0</v>
      </c>
      <c r="BL223" s="6"/>
      <c r="BM223" s="7">
        <f>ROUND(SUM(BM221:BM222),5)</f>
        <v>0</v>
      </c>
      <c r="BN223" s="6"/>
      <c r="BO223" s="7">
        <f>ROUND(SUM(BO221:BO222),5)</f>
        <v>0</v>
      </c>
      <c r="BP223" s="6"/>
      <c r="BQ223" s="7">
        <f>ROUND(SUM(G223:BO223),5)</f>
        <v>9578.6200000000008</v>
      </c>
    </row>
    <row r="224" spans="1:69">
      <c r="A224" s="4"/>
      <c r="B224" s="4"/>
      <c r="C224" s="4"/>
      <c r="D224" s="4"/>
      <c r="E224" s="4" t="s">
        <v>305</v>
      </c>
      <c r="F224" s="4"/>
      <c r="G224" s="7"/>
      <c r="H224" s="6"/>
      <c r="I224" s="7"/>
      <c r="J224" s="6"/>
      <c r="K224" s="7"/>
      <c r="L224" s="6"/>
      <c r="M224" s="7"/>
      <c r="N224" s="6"/>
      <c r="O224" s="7"/>
      <c r="P224" s="6"/>
      <c r="Q224" s="7"/>
      <c r="R224" s="6"/>
      <c r="S224" s="7"/>
      <c r="T224" s="6"/>
      <c r="U224" s="7"/>
      <c r="V224" s="6"/>
      <c r="W224" s="7"/>
      <c r="X224" s="6"/>
      <c r="Y224" s="7"/>
      <c r="Z224" s="6"/>
      <c r="AA224" s="7"/>
      <c r="AB224" s="6"/>
      <c r="AC224" s="7"/>
      <c r="AD224" s="6"/>
      <c r="AE224" s="7"/>
      <c r="AF224" s="6"/>
      <c r="AG224" s="7"/>
      <c r="AH224" s="6"/>
      <c r="AI224" s="7"/>
      <c r="AJ224" s="6"/>
      <c r="AK224" s="7"/>
      <c r="AL224" s="6"/>
      <c r="AM224" s="7"/>
      <c r="AN224" s="6"/>
      <c r="AO224" s="7"/>
      <c r="AP224" s="6"/>
      <c r="AQ224" s="7"/>
      <c r="AR224" s="6"/>
      <c r="AS224" s="7"/>
      <c r="AT224" s="6"/>
      <c r="AU224" s="7"/>
      <c r="AV224" s="6"/>
      <c r="AW224" s="7"/>
      <c r="AX224" s="6"/>
      <c r="AY224" s="7"/>
      <c r="AZ224" s="6"/>
      <c r="BA224" s="7"/>
      <c r="BB224" s="6"/>
      <c r="BC224" s="7"/>
      <c r="BD224" s="6"/>
      <c r="BE224" s="7"/>
      <c r="BF224" s="6"/>
      <c r="BG224" s="7"/>
      <c r="BH224" s="6"/>
      <c r="BI224" s="7"/>
      <c r="BJ224" s="6"/>
      <c r="BK224" s="7"/>
      <c r="BL224" s="6"/>
      <c r="BM224" s="7"/>
      <c r="BN224" s="6"/>
      <c r="BO224" s="7"/>
      <c r="BP224" s="6"/>
      <c r="BQ224" s="7"/>
    </row>
    <row r="225" spans="1:69">
      <c r="A225" s="4"/>
      <c r="B225" s="4"/>
      <c r="C225" s="4"/>
      <c r="D225" s="4"/>
      <c r="E225" s="4"/>
      <c r="F225" s="4" t="s">
        <v>306</v>
      </c>
      <c r="G225" s="7">
        <v>84.15</v>
      </c>
      <c r="H225" s="6"/>
      <c r="I225" s="7">
        <v>0</v>
      </c>
      <c r="J225" s="6"/>
      <c r="K225" s="7">
        <v>0</v>
      </c>
      <c r="L225" s="6"/>
      <c r="M225" s="7">
        <v>0</v>
      </c>
      <c r="N225" s="6"/>
      <c r="O225" s="7">
        <v>0</v>
      </c>
      <c r="P225" s="6"/>
      <c r="Q225" s="7">
        <v>0</v>
      </c>
      <c r="R225" s="6"/>
      <c r="S225" s="7">
        <v>0</v>
      </c>
      <c r="T225" s="6"/>
      <c r="U225" s="7">
        <v>0</v>
      </c>
      <c r="V225" s="6"/>
      <c r="W225" s="7">
        <v>0</v>
      </c>
      <c r="X225" s="6"/>
      <c r="Y225" s="7">
        <v>0</v>
      </c>
      <c r="Z225" s="6"/>
      <c r="AA225" s="7">
        <v>0</v>
      </c>
      <c r="AB225" s="6"/>
      <c r="AC225" s="7">
        <v>0</v>
      </c>
      <c r="AD225" s="6"/>
      <c r="AE225" s="7">
        <v>0</v>
      </c>
      <c r="AF225" s="6"/>
      <c r="AG225" s="7">
        <v>0</v>
      </c>
      <c r="AH225" s="6"/>
      <c r="AI225" s="7">
        <v>0</v>
      </c>
      <c r="AJ225" s="6"/>
      <c r="AK225" s="7">
        <v>0</v>
      </c>
      <c r="AL225" s="6"/>
      <c r="AM225" s="7">
        <v>0</v>
      </c>
      <c r="AN225" s="6"/>
      <c r="AO225" s="7">
        <v>0</v>
      </c>
      <c r="AP225" s="6"/>
      <c r="AQ225" s="7">
        <v>0</v>
      </c>
      <c r="AR225" s="6"/>
      <c r="AS225" s="7">
        <v>0</v>
      </c>
      <c r="AT225" s="6"/>
      <c r="AU225" s="7">
        <v>0</v>
      </c>
      <c r="AV225" s="6"/>
      <c r="AW225" s="7">
        <v>0</v>
      </c>
      <c r="AX225" s="6"/>
      <c r="AY225" s="7">
        <v>0</v>
      </c>
      <c r="AZ225" s="6"/>
      <c r="BA225" s="7">
        <v>0</v>
      </c>
      <c r="BB225" s="6"/>
      <c r="BC225" s="7">
        <v>0</v>
      </c>
      <c r="BD225" s="6"/>
      <c r="BE225" s="7">
        <v>0</v>
      </c>
      <c r="BF225" s="6"/>
      <c r="BG225" s="7">
        <v>0</v>
      </c>
      <c r="BH225" s="6"/>
      <c r="BI225" s="7">
        <v>0</v>
      </c>
      <c r="BJ225" s="6"/>
      <c r="BK225" s="7">
        <v>0</v>
      </c>
      <c r="BL225" s="6"/>
      <c r="BM225" s="7">
        <v>0</v>
      </c>
      <c r="BN225" s="6"/>
      <c r="BO225" s="7">
        <v>0</v>
      </c>
      <c r="BP225" s="6"/>
      <c r="BQ225" s="7">
        <f>ROUND(SUM(G225:BO225),5)</f>
        <v>84.15</v>
      </c>
    </row>
    <row r="226" spans="1:69">
      <c r="A226" s="4"/>
      <c r="B226" s="4"/>
      <c r="C226" s="4"/>
      <c r="D226" s="4"/>
      <c r="E226" s="4"/>
      <c r="F226" s="4" t="s">
        <v>307</v>
      </c>
      <c r="G226" s="7">
        <v>0</v>
      </c>
      <c r="H226" s="6"/>
      <c r="I226" s="7">
        <v>0</v>
      </c>
      <c r="J226" s="6"/>
      <c r="K226" s="7">
        <v>0</v>
      </c>
      <c r="L226" s="6"/>
      <c r="M226" s="7">
        <v>1000</v>
      </c>
      <c r="N226" s="6"/>
      <c r="O226" s="7">
        <v>0</v>
      </c>
      <c r="P226" s="6"/>
      <c r="Q226" s="7">
        <v>0</v>
      </c>
      <c r="R226" s="6"/>
      <c r="S226" s="7">
        <v>0</v>
      </c>
      <c r="T226" s="6"/>
      <c r="U226" s="7">
        <v>0</v>
      </c>
      <c r="V226" s="6"/>
      <c r="W226" s="7">
        <v>0</v>
      </c>
      <c r="X226" s="6"/>
      <c r="Y226" s="7">
        <v>0</v>
      </c>
      <c r="Z226" s="6"/>
      <c r="AA226" s="7">
        <v>0</v>
      </c>
      <c r="AB226" s="6"/>
      <c r="AC226" s="7">
        <v>0</v>
      </c>
      <c r="AD226" s="6"/>
      <c r="AE226" s="7">
        <v>0</v>
      </c>
      <c r="AF226" s="6"/>
      <c r="AG226" s="7">
        <v>0</v>
      </c>
      <c r="AH226" s="6"/>
      <c r="AI226" s="7">
        <v>0</v>
      </c>
      <c r="AJ226" s="6"/>
      <c r="AK226" s="7">
        <v>0</v>
      </c>
      <c r="AL226" s="6"/>
      <c r="AM226" s="7">
        <v>0</v>
      </c>
      <c r="AN226" s="6"/>
      <c r="AO226" s="7">
        <v>0</v>
      </c>
      <c r="AP226" s="6"/>
      <c r="AQ226" s="7">
        <v>0</v>
      </c>
      <c r="AR226" s="6"/>
      <c r="AS226" s="7">
        <v>0</v>
      </c>
      <c r="AT226" s="6"/>
      <c r="AU226" s="7">
        <v>0</v>
      </c>
      <c r="AV226" s="6"/>
      <c r="AW226" s="7">
        <v>0</v>
      </c>
      <c r="AX226" s="6"/>
      <c r="AY226" s="7">
        <v>0</v>
      </c>
      <c r="AZ226" s="6"/>
      <c r="BA226" s="7">
        <v>0</v>
      </c>
      <c r="BB226" s="6"/>
      <c r="BC226" s="7">
        <v>0</v>
      </c>
      <c r="BD226" s="6"/>
      <c r="BE226" s="7">
        <v>0</v>
      </c>
      <c r="BF226" s="6"/>
      <c r="BG226" s="7">
        <v>0</v>
      </c>
      <c r="BH226" s="6"/>
      <c r="BI226" s="7">
        <v>0</v>
      </c>
      <c r="BJ226" s="6"/>
      <c r="BK226" s="7">
        <v>0</v>
      </c>
      <c r="BL226" s="6"/>
      <c r="BM226" s="7">
        <v>0</v>
      </c>
      <c r="BN226" s="6"/>
      <c r="BO226" s="7">
        <v>0</v>
      </c>
      <c r="BP226" s="6"/>
      <c r="BQ226" s="7">
        <f>ROUND(SUM(G226:BO226),5)</f>
        <v>1000</v>
      </c>
    </row>
    <row r="227" spans="1:69" ht="15.75" thickBot="1">
      <c r="A227" s="4"/>
      <c r="B227" s="4"/>
      <c r="C227" s="4"/>
      <c r="D227" s="4"/>
      <c r="E227" s="4"/>
      <c r="F227" s="4" t="s">
        <v>308</v>
      </c>
      <c r="G227" s="9">
        <v>31900</v>
      </c>
      <c r="H227" s="6"/>
      <c r="I227" s="9">
        <v>0</v>
      </c>
      <c r="J227" s="6"/>
      <c r="K227" s="9">
        <v>0</v>
      </c>
      <c r="L227" s="6"/>
      <c r="M227" s="9">
        <v>600</v>
      </c>
      <c r="N227" s="6"/>
      <c r="O227" s="9">
        <v>0</v>
      </c>
      <c r="P227" s="6"/>
      <c r="Q227" s="9">
        <v>0</v>
      </c>
      <c r="R227" s="6"/>
      <c r="S227" s="9">
        <v>0</v>
      </c>
      <c r="T227" s="6"/>
      <c r="U227" s="9">
        <v>0</v>
      </c>
      <c r="V227" s="6"/>
      <c r="W227" s="9">
        <v>0</v>
      </c>
      <c r="X227" s="6"/>
      <c r="Y227" s="9">
        <v>0</v>
      </c>
      <c r="Z227" s="6"/>
      <c r="AA227" s="9">
        <v>0</v>
      </c>
      <c r="AB227" s="6"/>
      <c r="AC227" s="9">
        <v>0</v>
      </c>
      <c r="AD227" s="6"/>
      <c r="AE227" s="9">
        <v>0</v>
      </c>
      <c r="AF227" s="6"/>
      <c r="AG227" s="9">
        <v>0</v>
      </c>
      <c r="AH227" s="6"/>
      <c r="AI227" s="9">
        <v>0</v>
      </c>
      <c r="AJ227" s="6"/>
      <c r="AK227" s="9">
        <v>0</v>
      </c>
      <c r="AL227" s="6"/>
      <c r="AM227" s="9">
        <v>0</v>
      </c>
      <c r="AN227" s="6"/>
      <c r="AO227" s="9">
        <v>0</v>
      </c>
      <c r="AP227" s="6"/>
      <c r="AQ227" s="9">
        <v>0</v>
      </c>
      <c r="AR227" s="6"/>
      <c r="AS227" s="9">
        <v>0</v>
      </c>
      <c r="AT227" s="6"/>
      <c r="AU227" s="9">
        <v>0</v>
      </c>
      <c r="AV227" s="6"/>
      <c r="AW227" s="9">
        <v>0</v>
      </c>
      <c r="AX227" s="6"/>
      <c r="AY227" s="9">
        <v>0</v>
      </c>
      <c r="AZ227" s="6"/>
      <c r="BA227" s="9">
        <v>0</v>
      </c>
      <c r="BB227" s="6"/>
      <c r="BC227" s="9">
        <v>0</v>
      </c>
      <c r="BD227" s="6"/>
      <c r="BE227" s="9">
        <v>0</v>
      </c>
      <c r="BF227" s="6"/>
      <c r="BG227" s="9">
        <v>0</v>
      </c>
      <c r="BH227" s="6"/>
      <c r="BI227" s="9">
        <v>0</v>
      </c>
      <c r="BJ227" s="6"/>
      <c r="BK227" s="9">
        <v>0</v>
      </c>
      <c r="BL227" s="6"/>
      <c r="BM227" s="9">
        <v>0</v>
      </c>
      <c r="BN227" s="6"/>
      <c r="BO227" s="9">
        <v>0</v>
      </c>
      <c r="BP227" s="6"/>
      <c r="BQ227" s="9">
        <f>ROUND(SUM(G227:BO227),5)</f>
        <v>32500</v>
      </c>
    </row>
    <row r="228" spans="1:69">
      <c r="A228" s="4"/>
      <c r="B228" s="4"/>
      <c r="C228" s="4"/>
      <c r="D228" s="4"/>
      <c r="E228" s="4" t="s">
        <v>309</v>
      </c>
      <c r="F228" s="4"/>
      <c r="G228" s="7">
        <f>ROUND(SUM(G224:G227),5)</f>
        <v>31984.15</v>
      </c>
      <c r="H228" s="6"/>
      <c r="I228" s="7">
        <f>ROUND(SUM(I224:I227),5)</f>
        <v>0</v>
      </c>
      <c r="J228" s="6"/>
      <c r="K228" s="7">
        <f>ROUND(SUM(K224:K227),5)</f>
        <v>0</v>
      </c>
      <c r="L228" s="6"/>
      <c r="M228" s="7">
        <f>ROUND(SUM(M224:M227),5)</f>
        <v>1600</v>
      </c>
      <c r="N228" s="6"/>
      <c r="O228" s="7">
        <f>ROUND(SUM(O224:O227),5)</f>
        <v>0</v>
      </c>
      <c r="P228" s="6"/>
      <c r="Q228" s="7">
        <f>ROUND(SUM(Q224:Q227),5)</f>
        <v>0</v>
      </c>
      <c r="R228" s="6"/>
      <c r="S228" s="7">
        <f>ROUND(SUM(S224:S227),5)</f>
        <v>0</v>
      </c>
      <c r="T228" s="6"/>
      <c r="U228" s="7">
        <f>ROUND(SUM(U224:U227),5)</f>
        <v>0</v>
      </c>
      <c r="V228" s="6"/>
      <c r="W228" s="7">
        <f>ROUND(SUM(W224:W227),5)</f>
        <v>0</v>
      </c>
      <c r="X228" s="6"/>
      <c r="Y228" s="7">
        <f>ROUND(SUM(Y224:Y227),5)</f>
        <v>0</v>
      </c>
      <c r="Z228" s="6"/>
      <c r="AA228" s="7">
        <f>ROUND(SUM(AA224:AA227),5)</f>
        <v>0</v>
      </c>
      <c r="AB228" s="6"/>
      <c r="AC228" s="7">
        <f>ROUND(SUM(AC224:AC227),5)</f>
        <v>0</v>
      </c>
      <c r="AD228" s="6"/>
      <c r="AE228" s="7">
        <f>ROUND(SUM(AE224:AE227),5)</f>
        <v>0</v>
      </c>
      <c r="AF228" s="6"/>
      <c r="AG228" s="7">
        <f>ROUND(SUM(AG224:AG227),5)</f>
        <v>0</v>
      </c>
      <c r="AH228" s="6"/>
      <c r="AI228" s="7">
        <f>ROUND(SUM(AI224:AI227),5)</f>
        <v>0</v>
      </c>
      <c r="AJ228" s="6"/>
      <c r="AK228" s="7">
        <f>ROUND(SUM(AK224:AK227),5)</f>
        <v>0</v>
      </c>
      <c r="AL228" s="6"/>
      <c r="AM228" s="7">
        <f>ROUND(SUM(AM224:AM227),5)</f>
        <v>0</v>
      </c>
      <c r="AN228" s="6"/>
      <c r="AO228" s="7">
        <f>ROUND(SUM(AO224:AO227),5)</f>
        <v>0</v>
      </c>
      <c r="AP228" s="6"/>
      <c r="AQ228" s="7">
        <f>ROUND(SUM(AQ224:AQ227),5)</f>
        <v>0</v>
      </c>
      <c r="AR228" s="6"/>
      <c r="AS228" s="7">
        <f>ROUND(SUM(AS224:AS227),5)</f>
        <v>0</v>
      </c>
      <c r="AT228" s="6"/>
      <c r="AU228" s="7">
        <f>ROUND(SUM(AU224:AU227),5)</f>
        <v>0</v>
      </c>
      <c r="AV228" s="6"/>
      <c r="AW228" s="7">
        <f>ROUND(SUM(AW224:AW227),5)</f>
        <v>0</v>
      </c>
      <c r="AX228" s="6"/>
      <c r="AY228" s="7">
        <f>ROUND(SUM(AY224:AY227),5)</f>
        <v>0</v>
      </c>
      <c r="AZ228" s="6"/>
      <c r="BA228" s="7">
        <f>ROUND(SUM(BA224:BA227),5)</f>
        <v>0</v>
      </c>
      <c r="BB228" s="6"/>
      <c r="BC228" s="7">
        <f>ROUND(SUM(BC224:BC227),5)</f>
        <v>0</v>
      </c>
      <c r="BD228" s="6"/>
      <c r="BE228" s="7">
        <f>ROUND(SUM(BE224:BE227),5)</f>
        <v>0</v>
      </c>
      <c r="BF228" s="6"/>
      <c r="BG228" s="7">
        <f>ROUND(SUM(BG224:BG227),5)</f>
        <v>0</v>
      </c>
      <c r="BH228" s="6"/>
      <c r="BI228" s="7">
        <f>ROUND(SUM(BI224:BI227),5)</f>
        <v>0</v>
      </c>
      <c r="BJ228" s="6"/>
      <c r="BK228" s="7">
        <f>ROUND(SUM(BK224:BK227),5)</f>
        <v>0</v>
      </c>
      <c r="BL228" s="6"/>
      <c r="BM228" s="7">
        <f>ROUND(SUM(BM224:BM227),5)</f>
        <v>0</v>
      </c>
      <c r="BN228" s="6"/>
      <c r="BO228" s="7">
        <f>ROUND(SUM(BO224:BO227),5)</f>
        <v>0</v>
      </c>
      <c r="BP228" s="6"/>
      <c r="BQ228" s="7">
        <f>ROUND(SUM(G228:BO228),5)</f>
        <v>33584.15</v>
      </c>
    </row>
    <row r="229" spans="1:69">
      <c r="A229" s="4"/>
      <c r="B229" s="4"/>
      <c r="C229" s="4"/>
      <c r="D229" s="4"/>
      <c r="E229" s="4" t="s">
        <v>310</v>
      </c>
      <c r="F229" s="4"/>
      <c r="G229" s="7"/>
      <c r="H229" s="6"/>
      <c r="I229" s="7"/>
      <c r="J229" s="6"/>
      <c r="K229" s="7"/>
      <c r="L229" s="6"/>
      <c r="M229" s="7"/>
      <c r="N229" s="6"/>
      <c r="O229" s="7"/>
      <c r="P229" s="6"/>
      <c r="Q229" s="7"/>
      <c r="R229" s="6"/>
      <c r="S229" s="7"/>
      <c r="T229" s="6"/>
      <c r="U229" s="7"/>
      <c r="V229" s="6"/>
      <c r="W229" s="7"/>
      <c r="X229" s="6"/>
      <c r="Y229" s="7"/>
      <c r="Z229" s="6"/>
      <c r="AA229" s="7"/>
      <c r="AB229" s="6"/>
      <c r="AC229" s="7"/>
      <c r="AD229" s="6"/>
      <c r="AE229" s="7"/>
      <c r="AF229" s="6"/>
      <c r="AG229" s="7"/>
      <c r="AH229" s="6"/>
      <c r="AI229" s="7"/>
      <c r="AJ229" s="6"/>
      <c r="AK229" s="7"/>
      <c r="AL229" s="6"/>
      <c r="AM229" s="7"/>
      <c r="AN229" s="6"/>
      <c r="AO229" s="7"/>
      <c r="AP229" s="6"/>
      <c r="AQ229" s="7"/>
      <c r="AR229" s="6"/>
      <c r="AS229" s="7"/>
      <c r="AT229" s="6"/>
      <c r="AU229" s="7"/>
      <c r="AV229" s="6"/>
      <c r="AW229" s="7"/>
      <c r="AX229" s="6"/>
      <c r="AY229" s="7"/>
      <c r="AZ229" s="6"/>
      <c r="BA229" s="7"/>
      <c r="BB229" s="6"/>
      <c r="BC229" s="7"/>
      <c r="BD229" s="6"/>
      <c r="BE229" s="7"/>
      <c r="BF229" s="6"/>
      <c r="BG229" s="7"/>
      <c r="BH229" s="6"/>
      <c r="BI229" s="7"/>
      <c r="BJ229" s="6"/>
      <c r="BK229" s="7"/>
      <c r="BL229" s="6"/>
      <c r="BM229" s="7"/>
      <c r="BN229" s="6"/>
      <c r="BO229" s="7"/>
      <c r="BP229" s="6"/>
      <c r="BQ229" s="7"/>
    </row>
    <row r="230" spans="1:69">
      <c r="A230" s="4"/>
      <c r="B230" s="4"/>
      <c r="C230" s="4"/>
      <c r="D230" s="4"/>
      <c r="E230" s="4"/>
      <c r="F230" s="4" t="s">
        <v>311</v>
      </c>
      <c r="G230" s="7">
        <v>-400</v>
      </c>
      <c r="H230" s="6"/>
      <c r="I230" s="7">
        <v>0</v>
      </c>
      <c r="J230" s="6"/>
      <c r="K230" s="7">
        <v>0</v>
      </c>
      <c r="L230" s="6"/>
      <c r="M230" s="7">
        <v>0</v>
      </c>
      <c r="N230" s="6"/>
      <c r="O230" s="7">
        <v>0</v>
      </c>
      <c r="P230" s="6"/>
      <c r="Q230" s="7">
        <v>0</v>
      </c>
      <c r="R230" s="6"/>
      <c r="S230" s="7">
        <v>0</v>
      </c>
      <c r="T230" s="6"/>
      <c r="U230" s="7">
        <v>0</v>
      </c>
      <c r="V230" s="6"/>
      <c r="W230" s="7">
        <v>0</v>
      </c>
      <c r="X230" s="6"/>
      <c r="Y230" s="7">
        <v>0</v>
      </c>
      <c r="Z230" s="6"/>
      <c r="AA230" s="7">
        <v>0</v>
      </c>
      <c r="AB230" s="6"/>
      <c r="AC230" s="7">
        <v>0</v>
      </c>
      <c r="AD230" s="6"/>
      <c r="AE230" s="7">
        <v>0</v>
      </c>
      <c r="AF230" s="6"/>
      <c r="AG230" s="7">
        <v>0</v>
      </c>
      <c r="AH230" s="6"/>
      <c r="AI230" s="7">
        <v>0</v>
      </c>
      <c r="AJ230" s="6"/>
      <c r="AK230" s="7">
        <v>0</v>
      </c>
      <c r="AL230" s="6"/>
      <c r="AM230" s="7">
        <v>0</v>
      </c>
      <c r="AN230" s="6"/>
      <c r="AO230" s="7">
        <v>0</v>
      </c>
      <c r="AP230" s="6"/>
      <c r="AQ230" s="7">
        <v>0</v>
      </c>
      <c r="AR230" s="6"/>
      <c r="AS230" s="7">
        <v>0</v>
      </c>
      <c r="AT230" s="6"/>
      <c r="AU230" s="7">
        <v>0</v>
      </c>
      <c r="AV230" s="6"/>
      <c r="AW230" s="7">
        <v>0</v>
      </c>
      <c r="AX230" s="6"/>
      <c r="AY230" s="7">
        <v>0</v>
      </c>
      <c r="AZ230" s="6"/>
      <c r="BA230" s="7">
        <v>0</v>
      </c>
      <c r="BB230" s="6"/>
      <c r="BC230" s="7">
        <v>0</v>
      </c>
      <c r="BD230" s="6"/>
      <c r="BE230" s="7">
        <v>0</v>
      </c>
      <c r="BF230" s="6"/>
      <c r="BG230" s="7">
        <v>0</v>
      </c>
      <c r="BH230" s="6"/>
      <c r="BI230" s="7">
        <v>0</v>
      </c>
      <c r="BJ230" s="6"/>
      <c r="BK230" s="7">
        <v>0</v>
      </c>
      <c r="BL230" s="6"/>
      <c r="BM230" s="7">
        <v>0</v>
      </c>
      <c r="BN230" s="6"/>
      <c r="BO230" s="7">
        <v>0</v>
      </c>
      <c r="BP230" s="6"/>
      <c r="BQ230" s="7">
        <f>ROUND(SUM(G230:BO230),5)</f>
        <v>-400</v>
      </c>
    </row>
    <row r="231" spans="1:69" ht="15.75" thickBot="1">
      <c r="A231" s="4"/>
      <c r="B231" s="4"/>
      <c r="C231" s="4"/>
      <c r="D231" s="4"/>
      <c r="E231" s="4"/>
      <c r="F231" s="4" t="s">
        <v>312</v>
      </c>
      <c r="G231" s="9">
        <v>-30.6</v>
      </c>
      <c r="H231" s="6"/>
      <c r="I231" s="9">
        <v>0</v>
      </c>
      <c r="J231" s="6"/>
      <c r="K231" s="9">
        <v>0</v>
      </c>
      <c r="L231" s="6"/>
      <c r="M231" s="9">
        <v>76.5</v>
      </c>
      <c r="N231" s="6"/>
      <c r="O231" s="9">
        <v>0</v>
      </c>
      <c r="P231" s="6"/>
      <c r="Q231" s="9">
        <v>0</v>
      </c>
      <c r="R231" s="6"/>
      <c r="S231" s="9">
        <v>0</v>
      </c>
      <c r="T231" s="6"/>
      <c r="U231" s="9">
        <v>0</v>
      </c>
      <c r="V231" s="6"/>
      <c r="W231" s="9">
        <v>0</v>
      </c>
      <c r="X231" s="6"/>
      <c r="Y231" s="9">
        <v>0</v>
      </c>
      <c r="Z231" s="6"/>
      <c r="AA231" s="9">
        <v>0</v>
      </c>
      <c r="AB231" s="6"/>
      <c r="AC231" s="9">
        <v>0</v>
      </c>
      <c r="AD231" s="6"/>
      <c r="AE231" s="9">
        <v>0</v>
      </c>
      <c r="AF231" s="6"/>
      <c r="AG231" s="9">
        <v>0</v>
      </c>
      <c r="AH231" s="6"/>
      <c r="AI231" s="9">
        <v>0</v>
      </c>
      <c r="AJ231" s="6"/>
      <c r="AK231" s="9">
        <v>0</v>
      </c>
      <c r="AL231" s="6"/>
      <c r="AM231" s="9">
        <v>0</v>
      </c>
      <c r="AN231" s="6"/>
      <c r="AO231" s="9">
        <v>0</v>
      </c>
      <c r="AP231" s="6"/>
      <c r="AQ231" s="9">
        <v>0</v>
      </c>
      <c r="AR231" s="6"/>
      <c r="AS231" s="9">
        <v>0</v>
      </c>
      <c r="AT231" s="6"/>
      <c r="AU231" s="9">
        <v>0</v>
      </c>
      <c r="AV231" s="6"/>
      <c r="AW231" s="9">
        <v>0</v>
      </c>
      <c r="AX231" s="6"/>
      <c r="AY231" s="9">
        <v>0</v>
      </c>
      <c r="AZ231" s="6"/>
      <c r="BA231" s="9">
        <v>0</v>
      </c>
      <c r="BB231" s="6"/>
      <c r="BC231" s="9">
        <v>0</v>
      </c>
      <c r="BD231" s="6"/>
      <c r="BE231" s="9">
        <v>0</v>
      </c>
      <c r="BF231" s="6"/>
      <c r="BG231" s="9">
        <v>0</v>
      </c>
      <c r="BH231" s="6"/>
      <c r="BI231" s="9">
        <v>0</v>
      </c>
      <c r="BJ231" s="6"/>
      <c r="BK231" s="9">
        <v>0</v>
      </c>
      <c r="BL231" s="6"/>
      <c r="BM231" s="9">
        <v>0</v>
      </c>
      <c r="BN231" s="6"/>
      <c r="BO231" s="9">
        <v>0</v>
      </c>
      <c r="BP231" s="6"/>
      <c r="BQ231" s="9">
        <f>ROUND(SUM(G231:BO231),5)</f>
        <v>45.9</v>
      </c>
    </row>
    <row r="232" spans="1:69">
      <c r="A232" s="4"/>
      <c r="B232" s="4"/>
      <c r="C232" s="4"/>
      <c r="D232" s="4"/>
      <c r="E232" s="4" t="s">
        <v>313</v>
      </c>
      <c r="F232" s="4"/>
      <c r="G232" s="7">
        <f>ROUND(SUM(G229:G231),5)</f>
        <v>-430.6</v>
      </c>
      <c r="H232" s="6"/>
      <c r="I232" s="7">
        <f>ROUND(SUM(I229:I231),5)</f>
        <v>0</v>
      </c>
      <c r="J232" s="6"/>
      <c r="K232" s="7">
        <f>ROUND(SUM(K229:K231),5)</f>
        <v>0</v>
      </c>
      <c r="L232" s="6"/>
      <c r="M232" s="7">
        <f>ROUND(SUM(M229:M231),5)</f>
        <v>76.5</v>
      </c>
      <c r="N232" s="6"/>
      <c r="O232" s="7">
        <f>ROUND(SUM(O229:O231),5)</f>
        <v>0</v>
      </c>
      <c r="P232" s="6"/>
      <c r="Q232" s="7">
        <f>ROUND(SUM(Q229:Q231),5)</f>
        <v>0</v>
      </c>
      <c r="R232" s="6"/>
      <c r="S232" s="7">
        <f>ROUND(SUM(S229:S231),5)</f>
        <v>0</v>
      </c>
      <c r="T232" s="6"/>
      <c r="U232" s="7">
        <f>ROUND(SUM(U229:U231),5)</f>
        <v>0</v>
      </c>
      <c r="V232" s="6"/>
      <c r="W232" s="7">
        <f>ROUND(SUM(W229:W231),5)</f>
        <v>0</v>
      </c>
      <c r="X232" s="6"/>
      <c r="Y232" s="7">
        <f>ROUND(SUM(Y229:Y231),5)</f>
        <v>0</v>
      </c>
      <c r="Z232" s="6"/>
      <c r="AA232" s="7">
        <f>ROUND(SUM(AA229:AA231),5)</f>
        <v>0</v>
      </c>
      <c r="AB232" s="6"/>
      <c r="AC232" s="7">
        <f>ROUND(SUM(AC229:AC231),5)</f>
        <v>0</v>
      </c>
      <c r="AD232" s="6"/>
      <c r="AE232" s="7">
        <f>ROUND(SUM(AE229:AE231),5)</f>
        <v>0</v>
      </c>
      <c r="AF232" s="6"/>
      <c r="AG232" s="7">
        <f>ROUND(SUM(AG229:AG231),5)</f>
        <v>0</v>
      </c>
      <c r="AH232" s="6"/>
      <c r="AI232" s="7">
        <f>ROUND(SUM(AI229:AI231),5)</f>
        <v>0</v>
      </c>
      <c r="AJ232" s="6"/>
      <c r="AK232" s="7">
        <f>ROUND(SUM(AK229:AK231),5)</f>
        <v>0</v>
      </c>
      <c r="AL232" s="6"/>
      <c r="AM232" s="7">
        <f>ROUND(SUM(AM229:AM231),5)</f>
        <v>0</v>
      </c>
      <c r="AN232" s="6"/>
      <c r="AO232" s="7">
        <f>ROUND(SUM(AO229:AO231),5)</f>
        <v>0</v>
      </c>
      <c r="AP232" s="6"/>
      <c r="AQ232" s="7">
        <f>ROUND(SUM(AQ229:AQ231),5)</f>
        <v>0</v>
      </c>
      <c r="AR232" s="6"/>
      <c r="AS232" s="7">
        <f>ROUND(SUM(AS229:AS231),5)</f>
        <v>0</v>
      </c>
      <c r="AT232" s="6"/>
      <c r="AU232" s="7">
        <f>ROUND(SUM(AU229:AU231),5)</f>
        <v>0</v>
      </c>
      <c r="AV232" s="6"/>
      <c r="AW232" s="7">
        <f>ROUND(SUM(AW229:AW231),5)</f>
        <v>0</v>
      </c>
      <c r="AX232" s="6"/>
      <c r="AY232" s="7">
        <f>ROUND(SUM(AY229:AY231),5)</f>
        <v>0</v>
      </c>
      <c r="AZ232" s="6"/>
      <c r="BA232" s="7">
        <f>ROUND(SUM(BA229:BA231),5)</f>
        <v>0</v>
      </c>
      <c r="BB232" s="6"/>
      <c r="BC232" s="7">
        <f>ROUND(SUM(BC229:BC231),5)</f>
        <v>0</v>
      </c>
      <c r="BD232" s="6"/>
      <c r="BE232" s="7">
        <f>ROUND(SUM(BE229:BE231),5)</f>
        <v>0</v>
      </c>
      <c r="BF232" s="6"/>
      <c r="BG232" s="7">
        <f>ROUND(SUM(BG229:BG231),5)</f>
        <v>0</v>
      </c>
      <c r="BH232" s="6"/>
      <c r="BI232" s="7">
        <f>ROUND(SUM(BI229:BI231),5)</f>
        <v>0</v>
      </c>
      <c r="BJ232" s="6"/>
      <c r="BK232" s="7">
        <f>ROUND(SUM(BK229:BK231),5)</f>
        <v>0</v>
      </c>
      <c r="BL232" s="6"/>
      <c r="BM232" s="7">
        <f>ROUND(SUM(BM229:BM231),5)</f>
        <v>0</v>
      </c>
      <c r="BN232" s="6"/>
      <c r="BO232" s="7">
        <f>ROUND(SUM(BO229:BO231),5)</f>
        <v>0</v>
      </c>
      <c r="BP232" s="6"/>
      <c r="BQ232" s="7">
        <f>ROUND(SUM(G232:BO232),5)</f>
        <v>-354.1</v>
      </c>
    </row>
    <row r="233" spans="1:69">
      <c r="A233" s="4"/>
      <c r="B233" s="4"/>
      <c r="C233" s="4"/>
      <c r="D233" s="4"/>
      <c r="E233" s="4" t="s">
        <v>314</v>
      </c>
      <c r="F233" s="4"/>
      <c r="G233" s="7"/>
      <c r="H233" s="6"/>
      <c r="I233" s="7"/>
      <c r="J233" s="6"/>
      <c r="K233" s="7"/>
      <c r="L233" s="6"/>
      <c r="M233" s="7"/>
      <c r="N233" s="6"/>
      <c r="O233" s="7"/>
      <c r="P233" s="6"/>
      <c r="Q233" s="7"/>
      <c r="R233" s="6"/>
      <c r="S233" s="7"/>
      <c r="T233" s="6"/>
      <c r="U233" s="7"/>
      <c r="V233" s="6"/>
      <c r="W233" s="7"/>
      <c r="X233" s="6"/>
      <c r="Y233" s="7"/>
      <c r="Z233" s="6"/>
      <c r="AA233" s="7"/>
      <c r="AB233" s="6"/>
      <c r="AC233" s="7"/>
      <c r="AD233" s="6"/>
      <c r="AE233" s="7"/>
      <c r="AF233" s="6"/>
      <c r="AG233" s="7"/>
      <c r="AH233" s="6"/>
      <c r="AI233" s="7"/>
      <c r="AJ233" s="6"/>
      <c r="AK233" s="7"/>
      <c r="AL233" s="6"/>
      <c r="AM233" s="7"/>
      <c r="AN233" s="6"/>
      <c r="AO233" s="7"/>
      <c r="AP233" s="6"/>
      <c r="AQ233" s="7"/>
      <c r="AR233" s="6"/>
      <c r="AS233" s="7"/>
      <c r="AT233" s="6"/>
      <c r="AU233" s="7"/>
      <c r="AV233" s="6"/>
      <c r="AW233" s="7"/>
      <c r="AX233" s="6"/>
      <c r="AY233" s="7"/>
      <c r="AZ233" s="6"/>
      <c r="BA233" s="7"/>
      <c r="BB233" s="6"/>
      <c r="BC233" s="7"/>
      <c r="BD233" s="6"/>
      <c r="BE233" s="7"/>
      <c r="BF233" s="6"/>
      <c r="BG233" s="7"/>
      <c r="BH233" s="6"/>
      <c r="BI233" s="7"/>
      <c r="BJ233" s="6"/>
      <c r="BK233" s="7"/>
      <c r="BL233" s="6"/>
      <c r="BM233" s="7"/>
      <c r="BN233" s="6"/>
      <c r="BO233" s="7"/>
      <c r="BP233" s="6"/>
      <c r="BQ233" s="7"/>
    </row>
    <row r="234" spans="1:69">
      <c r="A234" s="4"/>
      <c r="B234" s="4"/>
      <c r="C234" s="4"/>
      <c r="D234" s="4"/>
      <c r="E234" s="4"/>
      <c r="F234" s="4" t="s">
        <v>315</v>
      </c>
      <c r="G234" s="7">
        <v>0</v>
      </c>
      <c r="H234" s="6"/>
      <c r="I234" s="7">
        <v>0</v>
      </c>
      <c r="J234" s="6"/>
      <c r="K234" s="7">
        <v>0</v>
      </c>
      <c r="L234" s="6"/>
      <c r="M234" s="7">
        <v>0</v>
      </c>
      <c r="N234" s="6"/>
      <c r="O234" s="7">
        <v>0</v>
      </c>
      <c r="P234" s="6"/>
      <c r="Q234" s="7">
        <v>0</v>
      </c>
      <c r="R234" s="6"/>
      <c r="S234" s="7">
        <v>0</v>
      </c>
      <c r="T234" s="6"/>
      <c r="U234" s="7">
        <v>0</v>
      </c>
      <c r="V234" s="6"/>
      <c r="W234" s="7">
        <v>0</v>
      </c>
      <c r="X234" s="6"/>
      <c r="Y234" s="7">
        <v>0</v>
      </c>
      <c r="Z234" s="6"/>
      <c r="AA234" s="7">
        <v>0</v>
      </c>
      <c r="AB234" s="6"/>
      <c r="AC234" s="7">
        <v>0</v>
      </c>
      <c r="AD234" s="6"/>
      <c r="AE234" s="7">
        <v>0</v>
      </c>
      <c r="AF234" s="6"/>
      <c r="AG234" s="7">
        <v>5819.8</v>
      </c>
      <c r="AH234" s="6"/>
      <c r="AI234" s="7">
        <v>0</v>
      </c>
      <c r="AJ234" s="6"/>
      <c r="AK234" s="7">
        <v>0</v>
      </c>
      <c r="AL234" s="6"/>
      <c r="AM234" s="7">
        <v>0</v>
      </c>
      <c r="AN234" s="6"/>
      <c r="AO234" s="7">
        <v>0</v>
      </c>
      <c r="AP234" s="6"/>
      <c r="AQ234" s="7">
        <v>0</v>
      </c>
      <c r="AR234" s="6"/>
      <c r="AS234" s="7">
        <v>0</v>
      </c>
      <c r="AT234" s="6"/>
      <c r="AU234" s="7">
        <v>0</v>
      </c>
      <c r="AV234" s="6"/>
      <c r="AW234" s="7">
        <v>0</v>
      </c>
      <c r="AX234" s="6"/>
      <c r="AY234" s="7">
        <v>0</v>
      </c>
      <c r="AZ234" s="6"/>
      <c r="BA234" s="7">
        <v>0</v>
      </c>
      <c r="BB234" s="6"/>
      <c r="BC234" s="7">
        <v>0</v>
      </c>
      <c r="BD234" s="6"/>
      <c r="BE234" s="7">
        <v>0</v>
      </c>
      <c r="BF234" s="6"/>
      <c r="BG234" s="7">
        <v>0</v>
      </c>
      <c r="BH234" s="6"/>
      <c r="BI234" s="7">
        <v>0</v>
      </c>
      <c r="BJ234" s="6"/>
      <c r="BK234" s="7">
        <v>0</v>
      </c>
      <c r="BL234" s="6"/>
      <c r="BM234" s="7">
        <v>0</v>
      </c>
      <c r="BN234" s="6"/>
      <c r="BO234" s="7">
        <v>0</v>
      </c>
      <c r="BP234" s="6"/>
      <c r="BQ234" s="7">
        <f>ROUND(SUM(G234:BO234),5)</f>
        <v>5819.8</v>
      </c>
    </row>
    <row r="235" spans="1:69">
      <c r="A235" s="4"/>
      <c r="B235" s="4"/>
      <c r="C235" s="4"/>
      <c r="D235" s="4"/>
      <c r="E235" s="4"/>
      <c r="F235" s="4" t="s">
        <v>316</v>
      </c>
      <c r="G235" s="7">
        <v>0</v>
      </c>
      <c r="H235" s="6"/>
      <c r="I235" s="7">
        <v>0</v>
      </c>
      <c r="J235" s="6"/>
      <c r="K235" s="7">
        <v>0</v>
      </c>
      <c r="L235" s="6"/>
      <c r="M235" s="7">
        <v>0</v>
      </c>
      <c r="N235" s="6"/>
      <c r="O235" s="7">
        <v>0</v>
      </c>
      <c r="P235" s="6"/>
      <c r="Q235" s="7">
        <v>0</v>
      </c>
      <c r="R235" s="6"/>
      <c r="S235" s="7">
        <v>0</v>
      </c>
      <c r="T235" s="6"/>
      <c r="U235" s="7">
        <v>0</v>
      </c>
      <c r="V235" s="6"/>
      <c r="W235" s="7">
        <v>0</v>
      </c>
      <c r="X235" s="6"/>
      <c r="Y235" s="7">
        <v>0</v>
      </c>
      <c r="Z235" s="6"/>
      <c r="AA235" s="7">
        <v>0</v>
      </c>
      <c r="AB235" s="6"/>
      <c r="AC235" s="7">
        <v>0</v>
      </c>
      <c r="AD235" s="6"/>
      <c r="AE235" s="7">
        <v>0</v>
      </c>
      <c r="AF235" s="6"/>
      <c r="AG235" s="7">
        <v>1904</v>
      </c>
      <c r="AH235" s="6"/>
      <c r="AI235" s="7">
        <v>0</v>
      </c>
      <c r="AJ235" s="6"/>
      <c r="AK235" s="7">
        <v>0</v>
      </c>
      <c r="AL235" s="6"/>
      <c r="AM235" s="7">
        <v>0</v>
      </c>
      <c r="AN235" s="6"/>
      <c r="AO235" s="7">
        <v>0</v>
      </c>
      <c r="AP235" s="6"/>
      <c r="AQ235" s="7">
        <v>0</v>
      </c>
      <c r="AR235" s="6"/>
      <c r="AS235" s="7">
        <v>0</v>
      </c>
      <c r="AT235" s="6"/>
      <c r="AU235" s="7">
        <v>0</v>
      </c>
      <c r="AV235" s="6"/>
      <c r="AW235" s="7">
        <v>0</v>
      </c>
      <c r="AX235" s="6"/>
      <c r="AY235" s="7">
        <v>0</v>
      </c>
      <c r="AZ235" s="6"/>
      <c r="BA235" s="7">
        <v>0</v>
      </c>
      <c r="BB235" s="6"/>
      <c r="BC235" s="7">
        <v>0</v>
      </c>
      <c r="BD235" s="6"/>
      <c r="BE235" s="7">
        <v>0</v>
      </c>
      <c r="BF235" s="6"/>
      <c r="BG235" s="7">
        <v>0</v>
      </c>
      <c r="BH235" s="6"/>
      <c r="BI235" s="7">
        <v>0</v>
      </c>
      <c r="BJ235" s="6"/>
      <c r="BK235" s="7">
        <v>0</v>
      </c>
      <c r="BL235" s="6"/>
      <c r="BM235" s="7">
        <v>0</v>
      </c>
      <c r="BN235" s="6"/>
      <c r="BO235" s="7">
        <v>0</v>
      </c>
      <c r="BP235" s="6"/>
      <c r="BQ235" s="7">
        <f>ROUND(SUM(G235:BO235),5)</f>
        <v>1904</v>
      </c>
    </row>
    <row r="236" spans="1:69">
      <c r="A236" s="4"/>
      <c r="B236" s="4"/>
      <c r="C236" s="4"/>
      <c r="D236" s="4"/>
      <c r="E236" s="4"/>
      <c r="F236" s="4" t="s">
        <v>317</v>
      </c>
      <c r="G236" s="7">
        <v>0</v>
      </c>
      <c r="H236" s="6"/>
      <c r="I236" s="7">
        <v>0</v>
      </c>
      <c r="J236" s="6"/>
      <c r="K236" s="7">
        <v>0</v>
      </c>
      <c r="L236" s="6"/>
      <c r="M236" s="7">
        <v>0</v>
      </c>
      <c r="N236" s="6"/>
      <c r="O236" s="7">
        <v>0</v>
      </c>
      <c r="P236" s="6"/>
      <c r="Q236" s="7">
        <v>0</v>
      </c>
      <c r="R236" s="6"/>
      <c r="S236" s="7">
        <v>0</v>
      </c>
      <c r="T236" s="6"/>
      <c r="U236" s="7">
        <v>0</v>
      </c>
      <c r="V236" s="6"/>
      <c r="W236" s="7">
        <v>0</v>
      </c>
      <c r="X236" s="6"/>
      <c r="Y236" s="7">
        <v>0</v>
      </c>
      <c r="Z236" s="6"/>
      <c r="AA236" s="7">
        <v>0</v>
      </c>
      <c r="AB236" s="6"/>
      <c r="AC236" s="7">
        <v>0</v>
      </c>
      <c r="AD236" s="6"/>
      <c r="AE236" s="7">
        <v>0</v>
      </c>
      <c r="AF236" s="6"/>
      <c r="AG236" s="7">
        <v>21938.82</v>
      </c>
      <c r="AH236" s="6"/>
      <c r="AI236" s="7">
        <v>1353.55</v>
      </c>
      <c r="AJ236" s="6"/>
      <c r="AK236" s="7">
        <v>0</v>
      </c>
      <c r="AL236" s="6"/>
      <c r="AM236" s="7">
        <v>0</v>
      </c>
      <c r="AN236" s="6"/>
      <c r="AO236" s="7">
        <v>0</v>
      </c>
      <c r="AP236" s="6"/>
      <c r="AQ236" s="7">
        <v>0</v>
      </c>
      <c r="AR236" s="6"/>
      <c r="AS236" s="7">
        <v>0</v>
      </c>
      <c r="AT236" s="6"/>
      <c r="AU236" s="7">
        <v>0</v>
      </c>
      <c r="AV236" s="6"/>
      <c r="AW236" s="7">
        <v>0</v>
      </c>
      <c r="AX236" s="6"/>
      <c r="AY236" s="7">
        <v>0</v>
      </c>
      <c r="AZ236" s="6"/>
      <c r="BA236" s="7">
        <v>0</v>
      </c>
      <c r="BB236" s="6"/>
      <c r="BC236" s="7">
        <v>0</v>
      </c>
      <c r="BD236" s="6"/>
      <c r="BE236" s="7">
        <v>0</v>
      </c>
      <c r="BF236" s="6"/>
      <c r="BG236" s="7">
        <v>0</v>
      </c>
      <c r="BH236" s="6"/>
      <c r="BI236" s="7">
        <v>0</v>
      </c>
      <c r="BJ236" s="6"/>
      <c r="BK236" s="7">
        <v>0</v>
      </c>
      <c r="BL236" s="6"/>
      <c r="BM236" s="7">
        <v>0</v>
      </c>
      <c r="BN236" s="6"/>
      <c r="BO236" s="7">
        <v>0</v>
      </c>
      <c r="BP236" s="6"/>
      <c r="BQ236" s="7">
        <f>ROUND(SUM(G236:BO236),5)</f>
        <v>23292.37</v>
      </c>
    </row>
    <row r="237" spans="1:69">
      <c r="A237" s="4"/>
      <c r="B237" s="4"/>
      <c r="C237" s="4"/>
      <c r="D237" s="4"/>
      <c r="E237" s="4"/>
      <c r="F237" s="4" t="s">
        <v>318</v>
      </c>
      <c r="G237" s="7">
        <v>0</v>
      </c>
      <c r="H237" s="6"/>
      <c r="I237" s="7">
        <v>0</v>
      </c>
      <c r="J237" s="6"/>
      <c r="K237" s="7">
        <v>0</v>
      </c>
      <c r="L237" s="6"/>
      <c r="M237" s="7">
        <v>0</v>
      </c>
      <c r="N237" s="6"/>
      <c r="O237" s="7">
        <v>0</v>
      </c>
      <c r="P237" s="6"/>
      <c r="Q237" s="7">
        <v>0</v>
      </c>
      <c r="R237" s="6"/>
      <c r="S237" s="7">
        <v>0</v>
      </c>
      <c r="T237" s="6"/>
      <c r="U237" s="7">
        <v>0</v>
      </c>
      <c r="V237" s="6"/>
      <c r="W237" s="7">
        <v>0</v>
      </c>
      <c r="X237" s="6"/>
      <c r="Y237" s="7">
        <v>0</v>
      </c>
      <c r="Z237" s="6"/>
      <c r="AA237" s="7">
        <v>0</v>
      </c>
      <c r="AB237" s="6"/>
      <c r="AC237" s="7">
        <v>0</v>
      </c>
      <c r="AD237" s="6"/>
      <c r="AE237" s="7">
        <v>0</v>
      </c>
      <c r="AF237" s="6"/>
      <c r="AG237" s="7">
        <v>1005.37</v>
      </c>
      <c r="AH237" s="6"/>
      <c r="AI237" s="7">
        <v>0</v>
      </c>
      <c r="AJ237" s="6"/>
      <c r="AK237" s="7">
        <v>0</v>
      </c>
      <c r="AL237" s="6"/>
      <c r="AM237" s="7">
        <v>0</v>
      </c>
      <c r="AN237" s="6"/>
      <c r="AO237" s="7">
        <v>0</v>
      </c>
      <c r="AP237" s="6"/>
      <c r="AQ237" s="7">
        <v>0</v>
      </c>
      <c r="AR237" s="6"/>
      <c r="AS237" s="7">
        <v>0</v>
      </c>
      <c r="AT237" s="6"/>
      <c r="AU237" s="7">
        <v>0</v>
      </c>
      <c r="AV237" s="6"/>
      <c r="AW237" s="7">
        <v>0</v>
      </c>
      <c r="AX237" s="6"/>
      <c r="AY237" s="7">
        <v>0</v>
      </c>
      <c r="AZ237" s="6"/>
      <c r="BA237" s="7">
        <v>0</v>
      </c>
      <c r="BB237" s="6"/>
      <c r="BC237" s="7">
        <v>0</v>
      </c>
      <c r="BD237" s="6"/>
      <c r="BE237" s="7">
        <v>0</v>
      </c>
      <c r="BF237" s="6"/>
      <c r="BG237" s="7">
        <v>0</v>
      </c>
      <c r="BH237" s="6"/>
      <c r="BI237" s="7">
        <v>0</v>
      </c>
      <c r="BJ237" s="6"/>
      <c r="BK237" s="7">
        <v>0</v>
      </c>
      <c r="BL237" s="6"/>
      <c r="BM237" s="7">
        <v>0</v>
      </c>
      <c r="BN237" s="6"/>
      <c r="BO237" s="7">
        <v>0</v>
      </c>
      <c r="BP237" s="6"/>
      <c r="BQ237" s="7">
        <f>ROUND(SUM(G237:BO237),5)</f>
        <v>1005.37</v>
      </c>
    </row>
    <row r="238" spans="1:69" ht="15.75" thickBot="1">
      <c r="A238" s="4"/>
      <c r="B238" s="4"/>
      <c r="C238" s="4"/>
      <c r="D238" s="4"/>
      <c r="E238" s="4"/>
      <c r="F238" s="4" t="s">
        <v>319</v>
      </c>
      <c r="G238" s="9">
        <v>0</v>
      </c>
      <c r="H238" s="6"/>
      <c r="I238" s="9">
        <v>0</v>
      </c>
      <c r="J238" s="6"/>
      <c r="K238" s="9">
        <v>0</v>
      </c>
      <c r="L238" s="6"/>
      <c r="M238" s="9">
        <v>0</v>
      </c>
      <c r="N238" s="6"/>
      <c r="O238" s="9">
        <v>0</v>
      </c>
      <c r="P238" s="6"/>
      <c r="Q238" s="9">
        <v>0</v>
      </c>
      <c r="R238" s="6"/>
      <c r="S238" s="9">
        <v>0</v>
      </c>
      <c r="T238" s="6"/>
      <c r="U238" s="9">
        <v>0</v>
      </c>
      <c r="V238" s="6"/>
      <c r="W238" s="9">
        <v>0</v>
      </c>
      <c r="X238" s="6"/>
      <c r="Y238" s="9">
        <v>0</v>
      </c>
      <c r="Z238" s="6"/>
      <c r="AA238" s="9">
        <v>0</v>
      </c>
      <c r="AB238" s="6"/>
      <c r="AC238" s="9">
        <v>0</v>
      </c>
      <c r="AD238" s="6"/>
      <c r="AE238" s="9">
        <v>0</v>
      </c>
      <c r="AF238" s="6"/>
      <c r="AG238" s="9">
        <v>1281</v>
      </c>
      <c r="AH238" s="6"/>
      <c r="AI238" s="9">
        <v>0</v>
      </c>
      <c r="AJ238" s="6"/>
      <c r="AK238" s="9">
        <v>0</v>
      </c>
      <c r="AL238" s="6"/>
      <c r="AM238" s="9">
        <v>0</v>
      </c>
      <c r="AN238" s="6"/>
      <c r="AO238" s="9">
        <v>0</v>
      </c>
      <c r="AP238" s="6"/>
      <c r="AQ238" s="9">
        <v>0</v>
      </c>
      <c r="AR238" s="6"/>
      <c r="AS238" s="9">
        <v>0</v>
      </c>
      <c r="AT238" s="6"/>
      <c r="AU238" s="9">
        <v>0</v>
      </c>
      <c r="AV238" s="6"/>
      <c r="AW238" s="9">
        <v>0</v>
      </c>
      <c r="AX238" s="6"/>
      <c r="AY238" s="9">
        <v>0</v>
      </c>
      <c r="AZ238" s="6"/>
      <c r="BA238" s="9">
        <v>0</v>
      </c>
      <c r="BB238" s="6"/>
      <c r="BC238" s="9">
        <v>0</v>
      </c>
      <c r="BD238" s="6"/>
      <c r="BE238" s="9">
        <v>0</v>
      </c>
      <c r="BF238" s="6"/>
      <c r="BG238" s="9">
        <v>0</v>
      </c>
      <c r="BH238" s="6"/>
      <c r="BI238" s="9">
        <v>0</v>
      </c>
      <c r="BJ238" s="6"/>
      <c r="BK238" s="9">
        <v>0</v>
      </c>
      <c r="BL238" s="6"/>
      <c r="BM238" s="9">
        <v>0</v>
      </c>
      <c r="BN238" s="6"/>
      <c r="BO238" s="9">
        <v>0</v>
      </c>
      <c r="BP238" s="6"/>
      <c r="BQ238" s="9">
        <f>ROUND(SUM(G238:BO238),5)</f>
        <v>1281</v>
      </c>
    </row>
    <row r="239" spans="1:69">
      <c r="A239" s="4"/>
      <c r="B239" s="4"/>
      <c r="C239" s="4"/>
      <c r="D239" s="4"/>
      <c r="E239" s="4" t="s">
        <v>320</v>
      </c>
      <c r="F239" s="4"/>
      <c r="G239" s="7">
        <f>ROUND(SUM(G233:G238),5)</f>
        <v>0</v>
      </c>
      <c r="H239" s="6"/>
      <c r="I239" s="7">
        <f>ROUND(SUM(I233:I238),5)</f>
        <v>0</v>
      </c>
      <c r="J239" s="6"/>
      <c r="K239" s="7">
        <f>ROUND(SUM(K233:K238),5)</f>
        <v>0</v>
      </c>
      <c r="L239" s="6"/>
      <c r="M239" s="7">
        <f>ROUND(SUM(M233:M238),5)</f>
        <v>0</v>
      </c>
      <c r="N239" s="6"/>
      <c r="O239" s="7">
        <f>ROUND(SUM(O233:O238),5)</f>
        <v>0</v>
      </c>
      <c r="P239" s="6"/>
      <c r="Q239" s="7">
        <f>ROUND(SUM(Q233:Q238),5)</f>
        <v>0</v>
      </c>
      <c r="R239" s="6"/>
      <c r="S239" s="7">
        <f>ROUND(SUM(S233:S238),5)</f>
        <v>0</v>
      </c>
      <c r="T239" s="6"/>
      <c r="U239" s="7">
        <f>ROUND(SUM(U233:U238),5)</f>
        <v>0</v>
      </c>
      <c r="V239" s="6"/>
      <c r="W239" s="7">
        <f>ROUND(SUM(W233:W238),5)</f>
        <v>0</v>
      </c>
      <c r="X239" s="6"/>
      <c r="Y239" s="7">
        <f>ROUND(SUM(Y233:Y238),5)</f>
        <v>0</v>
      </c>
      <c r="Z239" s="6"/>
      <c r="AA239" s="7">
        <f>ROUND(SUM(AA233:AA238),5)</f>
        <v>0</v>
      </c>
      <c r="AB239" s="6"/>
      <c r="AC239" s="7">
        <f>ROUND(SUM(AC233:AC238),5)</f>
        <v>0</v>
      </c>
      <c r="AD239" s="6"/>
      <c r="AE239" s="7">
        <f>ROUND(SUM(AE233:AE238),5)</f>
        <v>0</v>
      </c>
      <c r="AF239" s="6"/>
      <c r="AG239" s="7">
        <f>ROUND(SUM(AG233:AG238),5)</f>
        <v>31948.99</v>
      </c>
      <c r="AH239" s="6"/>
      <c r="AI239" s="7">
        <f>ROUND(SUM(AI233:AI238),5)</f>
        <v>1353.55</v>
      </c>
      <c r="AJ239" s="6"/>
      <c r="AK239" s="7">
        <f>ROUND(SUM(AK233:AK238),5)</f>
        <v>0</v>
      </c>
      <c r="AL239" s="6"/>
      <c r="AM239" s="7">
        <f>ROUND(SUM(AM233:AM238),5)</f>
        <v>0</v>
      </c>
      <c r="AN239" s="6"/>
      <c r="AO239" s="7">
        <f>ROUND(SUM(AO233:AO238),5)</f>
        <v>0</v>
      </c>
      <c r="AP239" s="6"/>
      <c r="AQ239" s="7">
        <f>ROUND(SUM(AQ233:AQ238),5)</f>
        <v>0</v>
      </c>
      <c r="AR239" s="6"/>
      <c r="AS239" s="7">
        <f>ROUND(SUM(AS233:AS238),5)</f>
        <v>0</v>
      </c>
      <c r="AT239" s="6"/>
      <c r="AU239" s="7">
        <f>ROUND(SUM(AU233:AU238),5)</f>
        <v>0</v>
      </c>
      <c r="AV239" s="6"/>
      <c r="AW239" s="7">
        <f>ROUND(SUM(AW233:AW238),5)</f>
        <v>0</v>
      </c>
      <c r="AX239" s="6"/>
      <c r="AY239" s="7">
        <f>ROUND(SUM(AY233:AY238),5)</f>
        <v>0</v>
      </c>
      <c r="AZ239" s="6"/>
      <c r="BA239" s="7">
        <f>ROUND(SUM(BA233:BA238),5)</f>
        <v>0</v>
      </c>
      <c r="BB239" s="6"/>
      <c r="BC239" s="7">
        <f>ROUND(SUM(BC233:BC238),5)</f>
        <v>0</v>
      </c>
      <c r="BD239" s="6"/>
      <c r="BE239" s="7">
        <f>ROUND(SUM(BE233:BE238),5)</f>
        <v>0</v>
      </c>
      <c r="BF239" s="6"/>
      <c r="BG239" s="7">
        <f>ROUND(SUM(BG233:BG238),5)</f>
        <v>0</v>
      </c>
      <c r="BH239" s="6"/>
      <c r="BI239" s="7">
        <f>ROUND(SUM(BI233:BI238),5)</f>
        <v>0</v>
      </c>
      <c r="BJ239" s="6"/>
      <c r="BK239" s="7">
        <f>ROUND(SUM(BK233:BK238),5)</f>
        <v>0</v>
      </c>
      <c r="BL239" s="6"/>
      <c r="BM239" s="7">
        <f>ROUND(SUM(BM233:BM238),5)</f>
        <v>0</v>
      </c>
      <c r="BN239" s="6"/>
      <c r="BO239" s="7">
        <f>ROUND(SUM(BO233:BO238),5)</f>
        <v>0</v>
      </c>
      <c r="BP239" s="6"/>
      <c r="BQ239" s="7">
        <f>ROUND(SUM(G239:BO239),5)</f>
        <v>33302.54</v>
      </c>
    </row>
    <row r="240" spans="1:69">
      <c r="A240" s="4"/>
      <c r="B240" s="4"/>
      <c r="C240" s="4"/>
      <c r="D240" s="4"/>
      <c r="E240" s="4" t="s">
        <v>321</v>
      </c>
      <c r="F240" s="4"/>
      <c r="G240" s="7"/>
      <c r="H240" s="6"/>
      <c r="I240" s="7"/>
      <c r="J240" s="6"/>
      <c r="K240" s="7"/>
      <c r="L240" s="6"/>
      <c r="M240" s="7"/>
      <c r="N240" s="6"/>
      <c r="O240" s="7"/>
      <c r="P240" s="6"/>
      <c r="Q240" s="7"/>
      <c r="R240" s="6"/>
      <c r="S240" s="7"/>
      <c r="T240" s="6"/>
      <c r="U240" s="7"/>
      <c r="V240" s="6"/>
      <c r="W240" s="7"/>
      <c r="X240" s="6"/>
      <c r="Y240" s="7"/>
      <c r="Z240" s="6"/>
      <c r="AA240" s="7"/>
      <c r="AB240" s="6"/>
      <c r="AC240" s="7"/>
      <c r="AD240" s="6"/>
      <c r="AE240" s="7"/>
      <c r="AF240" s="6"/>
      <c r="AG240" s="7"/>
      <c r="AH240" s="6"/>
      <c r="AI240" s="7"/>
      <c r="AJ240" s="6"/>
      <c r="AK240" s="7"/>
      <c r="AL240" s="6"/>
      <c r="AM240" s="7"/>
      <c r="AN240" s="6"/>
      <c r="AO240" s="7"/>
      <c r="AP240" s="6"/>
      <c r="AQ240" s="7"/>
      <c r="AR240" s="6"/>
      <c r="AS240" s="7"/>
      <c r="AT240" s="6"/>
      <c r="AU240" s="7"/>
      <c r="AV240" s="6"/>
      <c r="AW240" s="7"/>
      <c r="AX240" s="6"/>
      <c r="AY240" s="7"/>
      <c r="AZ240" s="6"/>
      <c r="BA240" s="7"/>
      <c r="BB240" s="6"/>
      <c r="BC240" s="7"/>
      <c r="BD240" s="6"/>
      <c r="BE240" s="7"/>
      <c r="BF240" s="6"/>
      <c r="BG240" s="7"/>
      <c r="BH240" s="6"/>
      <c r="BI240" s="7"/>
      <c r="BJ240" s="6"/>
      <c r="BK240" s="7"/>
      <c r="BL240" s="6"/>
      <c r="BM240" s="7"/>
      <c r="BN240" s="6"/>
      <c r="BO240" s="7"/>
      <c r="BP240" s="6"/>
      <c r="BQ240" s="7"/>
    </row>
    <row r="241" spans="1:69" ht="15.75" thickBot="1">
      <c r="A241" s="4"/>
      <c r="B241" s="4"/>
      <c r="C241" s="4"/>
      <c r="D241" s="4"/>
      <c r="E241" s="4"/>
      <c r="F241" s="4" t="s">
        <v>322</v>
      </c>
      <c r="G241" s="7">
        <v>0</v>
      </c>
      <c r="H241" s="6"/>
      <c r="I241" s="7">
        <v>0</v>
      </c>
      <c r="J241" s="6"/>
      <c r="K241" s="7">
        <v>0</v>
      </c>
      <c r="L241" s="6"/>
      <c r="M241" s="7">
        <v>0</v>
      </c>
      <c r="N241" s="6"/>
      <c r="O241" s="7">
        <v>0</v>
      </c>
      <c r="P241" s="6"/>
      <c r="Q241" s="7">
        <v>0</v>
      </c>
      <c r="R241" s="6"/>
      <c r="S241" s="7">
        <v>0</v>
      </c>
      <c r="T241" s="6"/>
      <c r="U241" s="7">
        <v>0</v>
      </c>
      <c r="V241" s="6"/>
      <c r="W241" s="7">
        <v>0</v>
      </c>
      <c r="X241" s="6"/>
      <c r="Y241" s="7">
        <v>0</v>
      </c>
      <c r="Z241" s="6"/>
      <c r="AA241" s="7">
        <v>0</v>
      </c>
      <c r="AB241" s="6"/>
      <c r="AC241" s="7">
        <v>0</v>
      </c>
      <c r="AD241" s="6"/>
      <c r="AE241" s="7">
        <v>0</v>
      </c>
      <c r="AF241" s="6"/>
      <c r="AG241" s="7">
        <v>4345</v>
      </c>
      <c r="AH241" s="6"/>
      <c r="AI241" s="7">
        <v>0</v>
      </c>
      <c r="AJ241" s="6"/>
      <c r="AK241" s="7">
        <v>0</v>
      </c>
      <c r="AL241" s="6"/>
      <c r="AM241" s="7">
        <v>0</v>
      </c>
      <c r="AN241" s="6"/>
      <c r="AO241" s="7">
        <v>0</v>
      </c>
      <c r="AP241" s="6"/>
      <c r="AQ241" s="7">
        <v>0</v>
      </c>
      <c r="AR241" s="6"/>
      <c r="AS241" s="7">
        <v>2537.5</v>
      </c>
      <c r="AT241" s="6"/>
      <c r="AU241" s="7">
        <v>0</v>
      </c>
      <c r="AV241" s="6"/>
      <c r="AW241" s="7">
        <v>0</v>
      </c>
      <c r="AX241" s="6"/>
      <c r="AY241" s="7">
        <v>9337.5</v>
      </c>
      <c r="AZ241" s="6"/>
      <c r="BA241" s="7">
        <v>0</v>
      </c>
      <c r="BB241" s="6"/>
      <c r="BC241" s="7">
        <v>0</v>
      </c>
      <c r="BD241" s="6"/>
      <c r="BE241" s="7">
        <v>0</v>
      </c>
      <c r="BF241" s="6"/>
      <c r="BG241" s="7">
        <v>0</v>
      </c>
      <c r="BH241" s="6"/>
      <c r="BI241" s="7">
        <v>0</v>
      </c>
      <c r="BJ241" s="6"/>
      <c r="BK241" s="7">
        <v>0</v>
      </c>
      <c r="BL241" s="6"/>
      <c r="BM241" s="7">
        <v>0</v>
      </c>
      <c r="BN241" s="6"/>
      <c r="BO241" s="7">
        <v>0</v>
      </c>
      <c r="BP241" s="6"/>
      <c r="BQ241" s="7">
        <f>ROUND(SUM(G241:BO241),5)</f>
        <v>16220</v>
      </c>
    </row>
    <row r="242" spans="1:69" ht="15.75" thickBot="1">
      <c r="A242" s="4"/>
      <c r="B242" s="4"/>
      <c r="C242" s="4"/>
      <c r="D242" s="4"/>
      <c r="E242" s="4" t="s">
        <v>323</v>
      </c>
      <c r="F242" s="4"/>
      <c r="G242" s="5">
        <f>ROUND(SUM(G240:G241),5)</f>
        <v>0</v>
      </c>
      <c r="H242" s="6"/>
      <c r="I242" s="5">
        <f>ROUND(SUM(I240:I241),5)</f>
        <v>0</v>
      </c>
      <c r="J242" s="6"/>
      <c r="K242" s="5">
        <f>ROUND(SUM(K240:K241),5)</f>
        <v>0</v>
      </c>
      <c r="L242" s="6"/>
      <c r="M242" s="5">
        <f>ROUND(SUM(M240:M241),5)</f>
        <v>0</v>
      </c>
      <c r="N242" s="6"/>
      <c r="O242" s="5">
        <f>ROUND(SUM(O240:O241),5)</f>
        <v>0</v>
      </c>
      <c r="P242" s="6"/>
      <c r="Q242" s="5">
        <f>ROUND(SUM(Q240:Q241),5)</f>
        <v>0</v>
      </c>
      <c r="R242" s="6"/>
      <c r="S242" s="5">
        <f>ROUND(SUM(S240:S241),5)</f>
        <v>0</v>
      </c>
      <c r="T242" s="6"/>
      <c r="U242" s="5">
        <f>ROUND(SUM(U240:U241),5)</f>
        <v>0</v>
      </c>
      <c r="V242" s="6"/>
      <c r="W242" s="5">
        <f>ROUND(SUM(W240:W241),5)</f>
        <v>0</v>
      </c>
      <c r="X242" s="6"/>
      <c r="Y242" s="5">
        <f>ROUND(SUM(Y240:Y241),5)</f>
        <v>0</v>
      </c>
      <c r="Z242" s="6"/>
      <c r="AA242" s="5">
        <f>ROUND(SUM(AA240:AA241),5)</f>
        <v>0</v>
      </c>
      <c r="AB242" s="6"/>
      <c r="AC242" s="5">
        <f>ROUND(SUM(AC240:AC241),5)</f>
        <v>0</v>
      </c>
      <c r="AD242" s="6"/>
      <c r="AE242" s="5">
        <f>ROUND(SUM(AE240:AE241),5)</f>
        <v>0</v>
      </c>
      <c r="AF242" s="6"/>
      <c r="AG242" s="5">
        <f>ROUND(SUM(AG240:AG241),5)</f>
        <v>4345</v>
      </c>
      <c r="AH242" s="6"/>
      <c r="AI242" s="5">
        <f>ROUND(SUM(AI240:AI241),5)</f>
        <v>0</v>
      </c>
      <c r="AJ242" s="6"/>
      <c r="AK242" s="5">
        <f>ROUND(SUM(AK240:AK241),5)</f>
        <v>0</v>
      </c>
      <c r="AL242" s="6"/>
      <c r="AM242" s="5">
        <f>ROUND(SUM(AM240:AM241),5)</f>
        <v>0</v>
      </c>
      <c r="AN242" s="6"/>
      <c r="AO242" s="5">
        <f>ROUND(SUM(AO240:AO241),5)</f>
        <v>0</v>
      </c>
      <c r="AP242" s="6"/>
      <c r="AQ242" s="5">
        <f>ROUND(SUM(AQ240:AQ241),5)</f>
        <v>0</v>
      </c>
      <c r="AR242" s="6"/>
      <c r="AS242" s="5">
        <f>ROUND(SUM(AS240:AS241),5)</f>
        <v>2537.5</v>
      </c>
      <c r="AT242" s="6"/>
      <c r="AU242" s="5">
        <f>ROUND(SUM(AU240:AU241),5)</f>
        <v>0</v>
      </c>
      <c r="AV242" s="6"/>
      <c r="AW242" s="5">
        <f>ROUND(SUM(AW240:AW241),5)</f>
        <v>0</v>
      </c>
      <c r="AX242" s="6"/>
      <c r="AY242" s="5">
        <f>ROUND(SUM(AY240:AY241),5)</f>
        <v>9337.5</v>
      </c>
      <c r="AZ242" s="6"/>
      <c r="BA242" s="5">
        <f>ROUND(SUM(BA240:BA241),5)</f>
        <v>0</v>
      </c>
      <c r="BB242" s="6"/>
      <c r="BC242" s="5">
        <f>ROUND(SUM(BC240:BC241),5)</f>
        <v>0</v>
      </c>
      <c r="BD242" s="6"/>
      <c r="BE242" s="5">
        <f>ROUND(SUM(BE240:BE241),5)</f>
        <v>0</v>
      </c>
      <c r="BF242" s="6"/>
      <c r="BG242" s="5">
        <f>ROUND(SUM(BG240:BG241),5)</f>
        <v>0</v>
      </c>
      <c r="BH242" s="6"/>
      <c r="BI242" s="5">
        <f>ROUND(SUM(BI240:BI241),5)</f>
        <v>0</v>
      </c>
      <c r="BJ242" s="6"/>
      <c r="BK242" s="5">
        <f>ROUND(SUM(BK240:BK241),5)</f>
        <v>0</v>
      </c>
      <c r="BL242" s="6"/>
      <c r="BM242" s="5">
        <f>ROUND(SUM(BM240:BM241),5)</f>
        <v>0</v>
      </c>
      <c r="BN242" s="6"/>
      <c r="BO242" s="5">
        <f>ROUND(SUM(BO240:BO241),5)</f>
        <v>0</v>
      </c>
      <c r="BP242" s="6"/>
      <c r="BQ242" s="5">
        <f>ROUND(SUM(G242:BO242),5)</f>
        <v>16220</v>
      </c>
    </row>
    <row r="243" spans="1:69" ht="15.75" thickBot="1">
      <c r="A243" s="4"/>
      <c r="B243" s="4"/>
      <c r="C243" s="4"/>
      <c r="D243" s="4" t="s">
        <v>324</v>
      </c>
      <c r="E243" s="4"/>
      <c r="F243" s="4"/>
      <c r="G243" s="8">
        <f>ROUND(SUM(G33:G35)+G67+G70+G81+G84+G93+G97+G103+G110+G114+G130+G138+G141+G144+G148+G151+G154+G160+G176+G179+G183+G186+G193+G196+G207+G217+G220+G223+G228+G232+G239+G242,5)</f>
        <v>4211143</v>
      </c>
      <c r="H243" s="6"/>
      <c r="I243" s="8">
        <f>ROUND(SUM(I33:I35)+I67+I70+I81+I84+I93+I97+I103+I110+I114+I130+I138+I141+I144+I148+I151+I154+I160+I176+I179+I183+I186+I193+I196+I207+I217+I220+I223+I228+I232+I239+I242,5)</f>
        <v>862.99</v>
      </c>
      <c r="J243" s="6"/>
      <c r="K243" s="8">
        <f>ROUND(SUM(K33:K35)+K67+K70+K81+K84+K93+K97+K103+K110+K114+K130+K138+K141+K144+K148+K151+K154+K160+K176+K179+K183+K186+K193+K196+K207+K217+K220+K223+K228+K232+K239+K242,5)</f>
        <v>0</v>
      </c>
      <c r="L243" s="6"/>
      <c r="M243" s="8">
        <f>ROUND(SUM(M33:M35)+M67+M70+M81+M84+M93+M97+M103+M110+M114+M130+M138+M141+M144+M148+M151+M154+M160+M176+M179+M183+M186+M193+M196+M207+M217+M220+M223+M228+M232+M239+M242,5)</f>
        <v>192785.3</v>
      </c>
      <c r="N243" s="6"/>
      <c r="O243" s="8">
        <f>ROUND(SUM(O33:O35)+O67+O70+O81+O84+O93+O97+O103+O110+O114+O130+O138+O141+O144+O148+O151+O154+O160+O176+O179+O183+O186+O193+O196+O207+O217+O220+O223+O228+O232+O239+O242,5)</f>
        <v>554.77</v>
      </c>
      <c r="P243" s="6"/>
      <c r="Q243" s="8">
        <f>ROUND(SUM(Q33:Q35)+Q67+Q70+Q81+Q84+Q93+Q97+Q103+Q110+Q114+Q130+Q138+Q141+Q144+Q148+Q151+Q154+Q160+Q176+Q179+Q183+Q186+Q193+Q196+Q207+Q217+Q220+Q223+Q228+Q232+Q239+Q242,5)</f>
        <v>0</v>
      </c>
      <c r="R243" s="6"/>
      <c r="S243" s="8">
        <f>ROUND(SUM(S33:S35)+S67+S70+S81+S84+S93+S97+S103+S110+S114+S130+S138+S141+S144+S148+S151+S154+S160+S176+S179+S183+S186+S193+S196+S207+S217+S220+S223+S228+S232+S239+S242,5)</f>
        <v>2664.95</v>
      </c>
      <c r="T243" s="6"/>
      <c r="U243" s="8">
        <f>ROUND(SUM(U33:U35)+U67+U70+U81+U84+U93+U97+U103+U110+U114+U130+U138+U141+U144+U148+U151+U154+U160+U176+U179+U183+U186+U193+U196+U207+U217+U220+U223+U228+U232+U239+U242,5)</f>
        <v>33661.71</v>
      </c>
      <c r="V243" s="6"/>
      <c r="W243" s="8">
        <f>ROUND(SUM(W33:W35)+W67+W70+W81+W84+W93+W97+W103+W110+W114+W130+W138+W141+W144+W148+W151+W154+W160+W176+W179+W183+W186+W193+W196+W207+W217+W220+W223+W228+W232+W239+W242,5)</f>
        <v>57544.44</v>
      </c>
      <c r="X243" s="6"/>
      <c r="Y243" s="8">
        <f>ROUND(SUM(Y33:Y35)+Y67+Y70+Y81+Y84+Y93+Y97+Y103+Y110+Y114+Y130+Y138+Y141+Y144+Y148+Y151+Y154+Y160+Y176+Y179+Y183+Y186+Y193+Y196+Y207+Y217+Y220+Y223+Y228+Y232+Y239+Y242,5)</f>
        <v>13360</v>
      </c>
      <c r="Z243" s="6"/>
      <c r="AA243" s="8">
        <f>ROUND(SUM(AA33:AA35)+AA67+AA70+AA81+AA84+AA93+AA97+AA103+AA110+AA114+AA130+AA138+AA141+AA144+AA148+AA151+AA154+AA160+AA176+AA179+AA183+AA186+AA193+AA196+AA207+AA217+AA220+AA223+AA228+AA232+AA239+AA242,5)</f>
        <v>40320.06</v>
      </c>
      <c r="AB243" s="6"/>
      <c r="AC243" s="8">
        <f>ROUND(SUM(AC33:AC35)+AC67+AC70+AC81+AC84+AC93+AC97+AC103+AC110+AC114+AC130+AC138+AC141+AC144+AC148+AC151+AC154+AC160+AC176+AC179+AC183+AC186+AC193+AC196+AC207+AC217+AC220+AC223+AC228+AC232+AC239+AC242,5)</f>
        <v>0</v>
      </c>
      <c r="AD243" s="6"/>
      <c r="AE243" s="8">
        <f>ROUND(SUM(AE33:AE35)+AE67+AE70+AE81+AE84+AE93+AE97+AE103+AE110+AE114+AE130+AE138+AE141+AE144+AE148+AE151+AE154+AE160+AE176+AE179+AE183+AE186+AE193+AE196+AE207+AE217+AE220+AE223+AE228+AE232+AE239+AE242,5)</f>
        <v>127500</v>
      </c>
      <c r="AF243" s="6"/>
      <c r="AG243" s="8">
        <f>ROUND(SUM(AG33:AG35)+AG67+AG70+AG81+AG84+AG93+AG97+AG103+AG110+AG114+AG130+AG138+AG141+AG144+AG148+AG151+AG154+AG160+AG176+AG179+AG183+AG186+AG193+AG196+AG207+AG217+AG220+AG223+AG228+AG232+AG239+AG242,5)</f>
        <v>1102982.98</v>
      </c>
      <c r="AH243" s="6"/>
      <c r="AI243" s="8">
        <f>ROUND(SUM(AI33:AI35)+AI67+AI70+AI81+AI84+AI93+AI97+AI103+AI110+AI114+AI130+AI138+AI141+AI144+AI148+AI151+AI154+AI160+AI176+AI179+AI183+AI186+AI193+AI196+AI207+AI217+AI220+AI223+AI228+AI232+AI239+AI242,5)</f>
        <v>59110.57</v>
      </c>
      <c r="AJ243" s="6"/>
      <c r="AK243" s="8">
        <f>ROUND(SUM(AK33:AK35)+AK67+AK70+AK81+AK84+AK93+AK97+AK103+AK110+AK114+AK130+AK138+AK141+AK144+AK148+AK151+AK154+AK160+AK176+AK179+AK183+AK186+AK193+AK196+AK207+AK217+AK220+AK223+AK228+AK232+AK239+AK242,5)</f>
        <v>174.53</v>
      </c>
      <c r="AL243" s="6"/>
      <c r="AM243" s="8">
        <f>ROUND(SUM(AM33:AM35)+AM67+AM70+AM81+AM84+AM93+AM97+AM103+AM110+AM114+AM130+AM138+AM141+AM144+AM148+AM151+AM154+AM160+AM176+AM179+AM183+AM186+AM193+AM196+AM207+AM217+AM220+AM223+AM228+AM232+AM239+AM242,5)</f>
        <v>125198.62</v>
      </c>
      <c r="AN243" s="6"/>
      <c r="AO243" s="8">
        <f>ROUND(SUM(AO33:AO35)+AO67+AO70+AO81+AO84+AO93+AO97+AO103+AO110+AO114+AO130+AO138+AO141+AO144+AO148+AO151+AO154+AO160+AO176+AO179+AO183+AO186+AO193+AO196+AO207+AO217+AO220+AO223+AO228+AO232+AO239+AO242,5)</f>
        <v>2999.68</v>
      </c>
      <c r="AP243" s="6"/>
      <c r="AQ243" s="8">
        <f>ROUND(SUM(AQ33:AQ35)+AQ67+AQ70+AQ81+AQ84+AQ93+AQ97+AQ103+AQ110+AQ114+AQ130+AQ138+AQ141+AQ144+AQ148+AQ151+AQ154+AQ160+AQ176+AQ179+AQ183+AQ186+AQ193+AQ196+AQ207+AQ217+AQ220+AQ223+AQ228+AQ232+AQ239+AQ242,5)</f>
        <v>12254.29</v>
      </c>
      <c r="AR243" s="6"/>
      <c r="AS243" s="8">
        <f>ROUND(SUM(AS33:AS35)+AS67+AS70+AS81+AS84+AS93+AS97+AS103+AS110+AS114+AS130+AS138+AS141+AS144+AS148+AS151+AS154+AS160+AS176+AS179+AS183+AS186+AS193+AS196+AS207+AS217+AS220+AS223+AS228+AS232+AS239+AS242,5)</f>
        <v>22413.99</v>
      </c>
      <c r="AT243" s="6"/>
      <c r="AU243" s="8">
        <f>ROUND(SUM(AU33:AU35)+AU67+AU70+AU81+AU84+AU93+AU97+AU103+AU110+AU114+AU130+AU138+AU141+AU144+AU148+AU151+AU154+AU160+AU176+AU179+AU183+AU186+AU193+AU196+AU207+AU217+AU220+AU223+AU228+AU232+AU239+AU242,5)</f>
        <v>429800</v>
      </c>
      <c r="AV243" s="6"/>
      <c r="AW243" s="8">
        <f>ROUND(SUM(AW33:AW35)+AW67+AW70+AW81+AW84+AW93+AW97+AW103+AW110+AW114+AW130+AW138+AW141+AW144+AW148+AW151+AW154+AW160+AW176+AW179+AW183+AW186+AW193+AW196+AW207+AW217+AW220+AW223+AW228+AW232+AW239+AW242,5)</f>
        <v>-5365.12</v>
      </c>
      <c r="AX243" s="6"/>
      <c r="AY243" s="8">
        <f>ROUND(SUM(AY33:AY35)+AY67+AY70+AY81+AY84+AY93+AY97+AY103+AY110+AY114+AY130+AY138+AY141+AY144+AY148+AY151+AY154+AY160+AY176+AY179+AY183+AY186+AY193+AY196+AY207+AY217+AY220+AY223+AY228+AY232+AY239+AY242,5)</f>
        <v>202420.15</v>
      </c>
      <c r="AZ243" s="6"/>
      <c r="BA243" s="8">
        <f>ROUND(SUM(BA33:BA35)+BA67+BA70+BA81+BA84+BA93+BA97+BA103+BA110+BA114+BA130+BA138+BA141+BA144+BA148+BA151+BA154+BA160+BA176+BA179+BA183+BA186+BA193+BA196+BA207+BA217+BA220+BA223+BA228+BA232+BA239+BA242,5)</f>
        <v>33175.97</v>
      </c>
      <c r="BB243" s="6"/>
      <c r="BC243" s="8">
        <f>ROUND(SUM(BC33:BC35)+BC67+BC70+BC81+BC84+BC93+BC97+BC103+BC110+BC114+BC130+BC138+BC141+BC144+BC148+BC151+BC154+BC160+BC176+BC179+BC183+BC186+BC193+BC196+BC207+BC217+BC220+BC223+BC228+BC232+BC239+BC242,5)</f>
        <v>398.84</v>
      </c>
      <c r="BD243" s="6"/>
      <c r="BE243" s="8">
        <f>ROUND(SUM(BE33:BE35)+BE67+BE70+BE81+BE84+BE93+BE97+BE103+BE110+BE114+BE130+BE138+BE141+BE144+BE148+BE151+BE154+BE160+BE176+BE179+BE183+BE186+BE193+BE196+BE207+BE217+BE220+BE223+BE228+BE232+BE239+BE242,5)</f>
        <v>15926.11</v>
      </c>
      <c r="BF243" s="6"/>
      <c r="BG243" s="8">
        <f>ROUND(SUM(BG33:BG35)+BG67+BG70+BG81+BG84+BG93+BG97+BG103+BG110+BG114+BG130+BG138+BG141+BG144+BG148+BG151+BG154+BG160+BG176+BG179+BG183+BG186+BG193+BG196+BG207+BG217+BG220+BG223+BG228+BG232+BG239+BG242,5)</f>
        <v>5967.34</v>
      </c>
      <c r="BH243" s="6"/>
      <c r="BI243" s="8">
        <f>ROUND(SUM(BI33:BI35)+BI67+BI70+BI81+BI84+BI93+BI97+BI103+BI110+BI114+BI130+BI138+BI141+BI144+BI148+BI151+BI154+BI160+BI176+BI179+BI183+BI186+BI193+BI196+BI207+BI217+BI220+BI223+BI228+BI232+BI239+BI242,5)</f>
        <v>3780</v>
      </c>
      <c r="BJ243" s="6"/>
      <c r="BK243" s="8">
        <f>ROUND(SUM(BK33:BK35)+BK67+BK70+BK81+BK84+BK93+BK97+BK103+BK110+BK114+BK130+BK138+BK141+BK144+BK148+BK151+BK154+BK160+BK176+BK179+BK183+BK186+BK193+BK196+BK207+BK217+BK220+BK223+BK228+BK232+BK239+BK242,5)</f>
        <v>5860</v>
      </c>
      <c r="BL243" s="6"/>
      <c r="BM243" s="8">
        <f>ROUND(SUM(BM33:BM35)+BM67+BM70+BM81+BM84+BM93+BM97+BM103+BM110+BM114+BM130+BM138+BM141+BM144+BM148+BM151+BM154+BM160+BM176+BM179+BM183+BM186+BM193+BM196+BM207+BM217+BM220+BM223+BM228+BM232+BM239+BM242,5)</f>
        <v>100898.26</v>
      </c>
      <c r="BN243" s="6"/>
      <c r="BO243" s="8">
        <f>ROUND(SUM(BO33:BO35)+BO67+BO70+BO81+BO84+BO93+BO97+BO103+BO110+BO114+BO130+BO138+BO141+BO144+BO148+BO151+BO154+BO160+BO176+BO179+BO183+BO186+BO193+BO196+BO207+BO217+BO220+BO223+BO228+BO232+BO239+BO242,5)</f>
        <v>346132.54</v>
      </c>
      <c r="BP243" s="6"/>
      <c r="BQ243" s="8">
        <f>ROUND(SUM(G243:BO243),5)</f>
        <v>7144525.9699999997</v>
      </c>
    </row>
    <row r="244" spans="1:69">
      <c r="A244" s="4"/>
      <c r="B244" s="4" t="s">
        <v>325</v>
      </c>
      <c r="C244" s="4"/>
      <c r="D244" s="4"/>
      <c r="E244" s="4"/>
      <c r="F244" s="4"/>
      <c r="G244" s="7">
        <f>ROUND(G2+G32-G243,5)</f>
        <v>469680.24</v>
      </c>
      <c r="H244" s="6"/>
      <c r="I244" s="7">
        <f>ROUND(I2+I32-I243,5)</f>
        <v>-862.99</v>
      </c>
      <c r="J244" s="6"/>
      <c r="K244" s="7">
        <f>ROUND(K2+K32-K243,5)</f>
        <v>124843.8</v>
      </c>
      <c r="L244" s="6"/>
      <c r="M244" s="7">
        <f>ROUND(M2+M32-M243,5)</f>
        <v>-116914.33</v>
      </c>
      <c r="N244" s="6"/>
      <c r="O244" s="7">
        <f>ROUND(O2+O32-O243,5)</f>
        <v>948.08</v>
      </c>
      <c r="P244" s="6"/>
      <c r="Q244" s="7">
        <f>ROUND(Q2+Q32-Q243,5)</f>
        <v>1029.3800000000001</v>
      </c>
      <c r="R244" s="6"/>
      <c r="S244" s="7">
        <f>ROUND(S2+S32-S243,5)</f>
        <v>-2664.95</v>
      </c>
      <c r="T244" s="6"/>
      <c r="U244" s="7">
        <f>ROUND(U2+U32-U243,5)</f>
        <v>-33661.71</v>
      </c>
      <c r="V244" s="6"/>
      <c r="W244" s="7">
        <f>ROUND(W2+W32-W243,5)</f>
        <v>-37581.57</v>
      </c>
      <c r="X244" s="6"/>
      <c r="Y244" s="7">
        <f>ROUND(Y2+Y32-Y243,5)</f>
        <v>-13360</v>
      </c>
      <c r="Z244" s="6"/>
      <c r="AA244" s="7">
        <f>ROUND(AA2+AA32-AA243,5)</f>
        <v>-38340.089999999997</v>
      </c>
      <c r="AB244" s="6"/>
      <c r="AC244" s="7">
        <f>ROUND(AC2+AC32-AC243,5)</f>
        <v>259000</v>
      </c>
      <c r="AD244" s="6"/>
      <c r="AE244" s="7">
        <f>ROUND(AE2+AE32-AE243,5)</f>
        <v>0</v>
      </c>
      <c r="AF244" s="6"/>
      <c r="AG244" s="7">
        <f>ROUND(AG2+AG32-AG243,5)</f>
        <v>-114325.28</v>
      </c>
      <c r="AH244" s="6"/>
      <c r="AI244" s="7">
        <f>ROUND(AI2+AI32-AI243,5)</f>
        <v>-586.04999999999995</v>
      </c>
      <c r="AJ244" s="6"/>
      <c r="AK244" s="7">
        <f>ROUND(AK2+AK32-AK243,5)</f>
        <v>0</v>
      </c>
      <c r="AL244" s="6"/>
      <c r="AM244" s="7">
        <f>ROUND(AM2+AM32-AM243,5)</f>
        <v>45305.84</v>
      </c>
      <c r="AN244" s="6"/>
      <c r="AO244" s="7">
        <f>ROUND(AO2+AO32-AO243,5)</f>
        <v>0</v>
      </c>
      <c r="AP244" s="6"/>
      <c r="AQ244" s="7">
        <f>ROUND(AQ2+AQ32-AQ243,5)</f>
        <v>0</v>
      </c>
      <c r="AR244" s="6"/>
      <c r="AS244" s="7">
        <f>ROUND(AS2+AS32-AS243,5)</f>
        <v>0</v>
      </c>
      <c r="AT244" s="6"/>
      <c r="AU244" s="7">
        <f>ROUND(AU2+AU32-AU243,5)</f>
        <v>0</v>
      </c>
      <c r="AV244" s="6"/>
      <c r="AW244" s="7">
        <f>ROUND(AW2+AW32-AW243,5)</f>
        <v>0</v>
      </c>
      <c r="AX244" s="6"/>
      <c r="AY244" s="7">
        <f>ROUND(AY2+AY32-AY243,5)</f>
        <v>0</v>
      </c>
      <c r="AZ244" s="6"/>
      <c r="BA244" s="7">
        <f>ROUND(BA2+BA32-BA243,5)</f>
        <v>0</v>
      </c>
      <c r="BB244" s="6"/>
      <c r="BC244" s="7">
        <f>ROUND(BC2+BC32-BC243,5)</f>
        <v>0</v>
      </c>
      <c r="BD244" s="6"/>
      <c r="BE244" s="7">
        <f>ROUND(BE2+BE32-BE243,5)</f>
        <v>0</v>
      </c>
      <c r="BF244" s="6"/>
      <c r="BG244" s="7">
        <f>ROUND(BG2+BG32-BG243,5)</f>
        <v>0</v>
      </c>
      <c r="BH244" s="6"/>
      <c r="BI244" s="7">
        <f>ROUND(BI2+BI32-BI243,5)</f>
        <v>0</v>
      </c>
      <c r="BJ244" s="6"/>
      <c r="BK244" s="7">
        <f>ROUND(BK2+BK32-BK243,5)</f>
        <v>0</v>
      </c>
      <c r="BL244" s="6"/>
      <c r="BM244" s="7">
        <f>ROUND(BM2+BM32-BM243,5)</f>
        <v>0</v>
      </c>
      <c r="BN244" s="6"/>
      <c r="BO244" s="7">
        <f>ROUND(BO2+BO32-BO243,5)</f>
        <v>0</v>
      </c>
      <c r="BP244" s="6"/>
      <c r="BQ244" s="7">
        <f>ROUND(SUM(G244:BO244),5)</f>
        <v>542510.37</v>
      </c>
    </row>
    <row r="245" spans="1:69">
      <c r="A245" s="4"/>
      <c r="B245" s="4" t="s">
        <v>326</v>
      </c>
      <c r="C245" s="4"/>
      <c r="D245" s="4"/>
      <c r="E245" s="4"/>
      <c r="F245" s="4"/>
      <c r="G245" s="7"/>
      <c r="H245" s="6"/>
      <c r="I245" s="7"/>
      <c r="J245" s="6"/>
      <c r="K245" s="7"/>
      <c r="L245" s="6"/>
      <c r="M245" s="7"/>
      <c r="N245" s="6"/>
      <c r="O245" s="7"/>
      <c r="P245" s="6"/>
      <c r="Q245" s="7"/>
      <c r="R245" s="6"/>
      <c r="S245" s="7"/>
      <c r="T245" s="6"/>
      <c r="U245" s="7"/>
      <c r="V245" s="6"/>
      <c r="W245" s="7"/>
      <c r="X245" s="6"/>
      <c r="Y245" s="7"/>
      <c r="Z245" s="6"/>
      <c r="AA245" s="7"/>
      <c r="AB245" s="6"/>
      <c r="AC245" s="7"/>
      <c r="AD245" s="6"/>
      <c r="AE245" s="7"/>
      <c r="AF245" s="6"/>
      <c r="AG245" s="7"/>
      <c r="AH245" s="6"/>
      <c r="AI245" s="7"/>
      <c r="AJ245" s="6"/>
      <c r="AK245" s="7"/>
      <c r="AL245" s="6"/>
      <c r="AM245" s="7"/>
      <c r="AN245" s="6"/>
      <c r="AO245" s="7"/>
      <c r="AP245" s="6"/>
      <c r="AQ245" s="7"/>
      <c r="AR245" s="6"/>
      <c r="AS245" s="7"/>
      <c r="AT245" s="6"/>
      <c r="AU245" s="7"/>
      <c r="AV245" s="6"/>
      <c r="AW245" s="7"/>
      <c r="AX245" s="6"/>
      <c r="AY245" s="7"/>
      <c r="AZ245" s="6"/>
      <c r="BA245" s="7"/>
      <c r="BB245" s="6"/>
      <c r="BC245" s="7"/>
      <c r="BD245" s="6"/>
      <c r="BE245" s="7"/>
      <c r="BF245" s="6"/>
      <c r="BG245" s="7"/>
      <c r="BH245" s="6"/>
      <c r="BI245" s="7"/>
      <c r="BJ245" s="6"/>
      <c r="BK245" s="7"/>
      <c r="BL245" s="6"/>
      <c r="BM245" s="7"/>
      <c r="BN245" s="6"/>
      <c r="BO245" s="7"/>
      <c r="BP245" s="6"/>
      <c r="BQ245" s="7"/>
    </row>
    <row r="246" spans="1:69">
      <c r="A246" s="4"/>
      <c r="B246" s="4"/>
      <c r="C246" s="4" t="s">
        <v>327</v>
      </c>
      <c r="D246" s="4"/>
      <c r="E246" s="4"/>
      <c r="F246" s="4"/>
      <c r="G246" s="7"/>
      <c r="H246" s="6"/>
      <c r="I246" s="7"/>
      <c r="J246" s="6"/>
      <c r="K246" s="7"/>
      <c r="L246" s="6"/>
      <c r="M246" s="7"/>
      <c r="N246" s="6"/>
      <c r="O246" s="7"/>
      <c r="P246" s="6"/>
      <c r="Q246" s="7"/>
      <c r="R246" s="6"/>
      <c r="S246" s="7"/>
      <c r="T246" s="6"/>
      <c r="U246" s="7"/>
      <c r="V246" s="6"/>
      <c r="W246" s="7"/>
      <c r="X246" s="6"/>
      <c r="Y246" s="7"/>
      <c r="Z246" s="6"/>
      <c r="AA246" s="7"/>
      <c r="AB246" s="6"/>
      <c r="AC246" s="7"/>
      <c r="AD246" s="6"/>
      <c r="AE246" s="7"/>
      <c r="AF246" s="6"/>
      <c r="AG246" s="7"/>
      <c r="AH246" s="6"/>
      <c r="AI246" s="7"/>
      <c r="AJ246" s="6"/>
      <c r="AK246" s="7"/>
      <c r="AL246" s="6"/>
      <c r="AM246" s="7"/>
      <c r="AN246" s="6"/>
      <c r="AO246" s="7"/>
      <c r="AP246" s="6"/>
      <c r="AQ246" s="7"/>
      <c r="AR246" s="6"/>
      <c r="AS246" s="7"/>
      <c r="AT246" s="6"/>
      <c r="AU246" s="7"/>
      <c r="AV246" s="6"/>
      <c r="AW246" s="7"/>
      <c r="AX246" s="6"/>
      <c r="AY246" s="7"/>
      <c r="AZ246" s="6"/>
      <c r="BA246" s="7"/>
      <c r="BB246" s="6"/>
      <c r="BC246" s="7"/>
      <c r="BD246" s="6"/>
      <c r="BE246" s="7"/>
      <c r="BF246" s="6"/>
      <c r="BG246" s="7"/>
      <c r="BH246" s="6"/>
      <c r="BI246" s="7"/>
      <c r="BJ246" s="6"/>
      <c r="BK246" s="7"/>
      <c r="BL246" s="6"/>
      <c r="BM246" s="7"/>
      <c r="BN246" s="6"/>
      <c r="BO246" s="7"/>
      <c r="BP246" s="6"/>
      <c r="BQ246" s="7"/>
    </row>
    <row r="247" spans="1:69" ht="15.75" thickBot="1">
      <c r="A247" s="4"/>
      <c r="B247" s="4"/>
      <c r="C247" s="4"/>
      <c r="D247" s="4" t="s">
        <v>328</v>
      </c>
      <c r="E247" s="4"/>
      <c r="F247" s="4"/>
      <c r="G247" s="7">
        <v>114644.31</v>
      </c>
      <c r="H247" s="6"/>
      <c r="I247" s="7">
        <v>0</v>
      </c>
      <c r="J247" s="6"/>
      <c r="K247" s="7">
        <v>0</v>
      </c>
      <c r="L247" s="6"/>
      <c r="M247" s="7">
        <v>0</v>
      </c>
      <c r="N247" s="6"/>
      <c r="O247" s="7">
        <v>0</v>
      </c>
      <c r="P247" s="6"/>
      <c r="Q247" s="7">
        <v>0</v>
      </c>
      <c r="R247" s="6"/>
      <c r="S247" s="7">
        <v>0</v>
      </c>
      <c r="T247" s="6"/>
      <c r="U247" s="7">
        <v>0</v>
      </c>
      <c r="V247" s="6"/>
      <c r="W247" s="7">
        <v>0</v>
      </c>
      <c r="X247" s="6"/>
      <c r="Y247" s="7">
        <v>0</v>
      </c>
      <c r="Z247" s="6"/>
      <c r="AA247" s="7">
        <v>0</v>
      </c>
      <c r="AB247" s="6"/>
      <c r="AC247" s="7">
        <v>0</v>
      </c>
      <c r="AD247" s="6"/>
      <c r="AE247" s="7">
        <v>0</v>
      </c>
      <c r="AF247" s="6"/>
      <c r="AG247" s="7">
        <v>0</v>
      </c>
      <c r="AH247" s="6"/>
      <c r="AI247" s="7">
        <v>0</v>
      </c>
      <c r="AJ247" s="6"/>
      <c r="AK247" s="7">
        <v>0</v>
      </c>
      <c r="AL247" s="6"/>
      <c r="AM247" s="7">
        <v>0</v>
      </c>
      <c r="AN247" s="6"/>
      <c r="AO247" s="7">
        <v>0</v>
      </c>
      <c r="AP247" s="6"/>
      <c r="AQ247" s="7">
        <v>0</v>
      </c>
      <c r="AR247" s="6"/>
      <c r="AS247" s="7">
        <v>0</v>
      </c>
      <c r="AT247" s="6"/>
      <c r="AU247" s="7">
        <v>0</v>
      </c>
      <c r="AV247" s="6"/>
      <c r="AW247" s="7">
        <v>0</v>
      </c>
      <c r="AX247" s="6"/>
      <c r="AY247" s="7">
        <v>0</v>
      </c>
      <c r="AZ247" s="6"/>
      <c r="BA247" s="7">
        <v>0</v>
      </c>
      <c r="BB247" s="6"/>
      <c r="BC247" s="7">
        <v>0</v>
      </c>
      <c r="BD247" s="6"/>
      <c r="BE247" s="7">
        <v>0</v>
      </c>
      <c r="BF247" s="6"/>
      <c r="BG247" s="7">
        <v>0</v>
      </c>
      <c r="BH247" s="6"/>
      <c r="BI247" s="7">
        <v>0</v>
      </c>
      <c r="BJ247" s="6"/>
      <c r="BK247" s="7">
        <v>0</v>
      </c>
      <c r="BL247" s="6"/>
      <c r="BM247" s="7">
        <v>0</v>
      </c>
      <c r="BN247" s="6"/>
      <c r="BO247" s="7">
        <v>0</v>
      </c>
      <c r="BP247" s="6"/>
      <c r="BQ247" s="7">
        <f>ROUND(SUM(G247:BO247),5)</f>
        <v>114644.31</v>
      </c>
    </row>
    <row r="248" spans="1:69" ht="15.75" thickBot="1">
      <c r="A248" s="4"/>
      <c r="B248" s="4"/>
      <c r="C248" s="4" t="s">
        <v>329</v>
      </c>
      <c r="D248" s="4"/>
      <c r="E248" s="4"/>
      <c r="F248" s="4"/>
      <c r="G248" s="5">
        <f>ROUND(SUM(G246:G247),5)</f>
        <v>114644.31</v>
      </c>
      <c r="H248" s="6"/>
      <c r="I248" s="5">
        <f>ROUND(SUM(I246:I247),5)</f>
        <v>0</v>
      </c>
      <c r="J248" s="6"/>
      <c r="K248" s="5">
        <f>ROUND(SUM(K246:K247),5)</f>
        <v>0</v>
      </c>
      <c r="L248" s="6"/>
      <c r="M248" s="5">
        <f>ROUND(SUM(M246:M247),5)</f>
        <v>0</v>
      </c>
      <c r="N248" s="6"/>
      <c r="O248" s="5">
        <f>ROUND(SUM(O246:O247),5)</f>
        <v>0</v>
      </c>
      <c r="P248" s="6"/>
      <c r="Q248" s="5">
        <f>ROUND(SUM(Q246:Q247),5)</f>
        <v>0</v>
      </c>
      <c r="R248" s="6"/>
      <c r="S248" s="5">
        <f>ROUND(SUM(S246:S247),5)</f>
        <v>0</v>
      </c>
      <c r="T248" s="6"/>
      <c r="U248" s="5">
        <f>ROUND(SUM(U246:U247),5)</f>
        <v>0</v>
      </c>
      <c r="V248" s="6"/>
      <c r="W248" s="5">
        <f>ROUND(SUM(W246:W247),5)</f>
        <v>0</v>
      </c>
      <c r="X248" s="6"/>
      <c r="Y248" s="5">
        <f>ROUND(SUM(Y246:Y247),5)</f>
        <v>0</v>
      </c>
      <c r="Z248" s="6"/>
      <c r="AA248" s="5">
        <f>ROUND(SUM(AA246:AA247),5)</f>
        <v>0</v>
      </c>
      <c r="AB248" s="6"/>
      <c r="AC248" s="5">
        <f>ROUND(SUM(AC246:AC247),5)</f>
        <v>0</v>
      </c>
      <c r="AD248" s="6"/>
      <c r="AE248" s="5">
        <f>ROUND(SUM(AE246:AE247),5)</f>
        <v>0</v>
      </c>
      <c r="AF248" s="6"/>
      <c r="AG248" s="5">
        <f>ROUND(SUM(AG246:AG247),5)</f>
        <v>0</v>
      </c>
      <c r="AH248" s="6"/>
      <c r="AI248" s="5">
        <f>ROUND(SUM(AI246:AI247),5)</f>
        <v>0</v>
      </c>
      <c r="AJ248" s="6"/>
      <c r="AK248" s="5">
        <f>ROUND(SUM(AK246:AK247),5)</f>
        <v>0</v>
      </c>
      <c r="AL248" s="6"/>
      <c r="AM248" s="5">
        <f>ROUND(SUM(AM246:AM247),5)</f>
        <v>0</v>
      </c>
      <c r="AN248" s="6"/>
      <c r="AO248" s="5">
        <f>ROUND(SUM(AO246:AO247),5)</f>
        <v>0</v>
      </c>
      <c r="AP248" s="6"/>
      <c r="AQ248" s="5">
        <f>ROUND(SUM(AQ246:AQ247),5)</f>
        <v>0</v>
      </c>
      <c r="AR248" s="6"/>
      <c r="AS248" s="5">
        <f>ROUND(SUM(AS246:AS247),5)</f>
        <v>0</v>
      </c>
      <c r="AT248" s="6"/>
      <c r="AU248" s="5">
        <f>ROUND(SUM(AU246:AU247),5)</f>
        <v>0</v>
      </c>
      <c r="AV248" s="6"/>
      <c r="AW248" s="5">
        <f>ROUND(SUM(AW246:AW247),5)</f>
        <v>0</v>
      </c>
      <c r="AX248" s="6"/>
      <c r="AY248" s="5">
        <f>ROUND(SUM(AY246:AY247),5)</f>
        <v>0</v>
      </c>
      <c r="AZ248" s="6"/>
      <c r="BA248" s="5">
        <f>ROUND(SUM(BA246:BA247),5)</f>
        <v>0</v>
      </c>
      <c r="BB248" s="6"/>
      <c r="BC248" s="5">
        <f>ROUND(SUM(BC246:BC247),5)</f>
        <v>0</v>
      </c>
      <c r="BD248" s="6"/>
      <c r="BE248" s="5">
        <f>ROUND(SUM(BE246:BE247),5)</f>
        <v>0</v>
      </c>
      <c r="BF248" s="6"/>
      <c r="BG248" s="5">
        <f>ROUND(SUM(BG246:BG247),5)</f>
        <v>0</v>
      </c>
      <c r="BH248" s="6"/>
      <c r="BI248" s="5">
        <f>ROUND(SUM(BI246:BI247),5)</f>
        <v>0</v>
      </c>
      <c r="BJ248" s="6"/>
      <c r="BK248" s="5">
        <f>ROUND(SUM(BK246:BK247),5)</f>
        <v>0</v>
      </c>
      <c r="BL248" s="6"/>
      <c r="BM248" s="5">
        <f>ROUND(SUM(BM246:BM247),5)</f>
        <v>0</v>
      </c>
      <c r="BN248" s="6"/>
      <c r="BO248" s="5">
        <f>ROUND(SUM(BO246:BO247),5)</f>
        <v>0</v>
      </c>
      <c r="BP248" s="6"/>
      <c r="BQ248" s="5">
        <f>ROUND(SUM(G248:BO248),5)</f>
        <v>114644.31</v>
      </c>
    </row>
    <row r="249" spans="1:69" ht="15.75" thickBot="1">
      <c r="A249" s="4"/>
      <c r="B249" s="4" t="s">
        <v>330</v>
      </c>
      <c r="C249" s="4"/>
      <c r="D249" s="4"/>
      <c r="E249" s="4"/>
      <c r="F249" s="4"/>
      <c r="G249" s="5">
        <f>ROUND(G245-G248,5)</f>
        <v>-114644.31</v>
      </c>
      <c r="H249" s="6"/>
      <c r="I249" s="5">
        <f>ROUND(I245-I248,5)</f>
        <v>0</v>
      </c>
      <c r="J249" s="6"/>
      <c r="K249" s="5">
        <f>ROUND(K245-K248,5)</f>
        <v>0</v>
      </c>
      <c r="L249" s="6"/>
      <c r="M249" s="5">
        <f>ROUND(M245-M248,5)</f>
        <v>0</v>
      </c>
      <c r="N249" s="6"/>
      <c r="O249" s="5">
        <f>ROUND(O245-O248,5)</f>
        <v>0</v>
      </c>
      <c r="P249" s="6"/>
      <c r="Q249" s="5">
        <f>ROUND(Q245-Q248,5)</f>
        <v>0</v>
      </c>
      <c r="R249" s="6"/>
      <c r="S249" s="5">
        <f>ROUND(S245-S248,5)</f>
        <v>0</v>
      </c>
      <c r="T249" s="6"/>
      <c r="U249" s="5">
        <f>ROUND(U245-U248,5)</f>
        <v>0</v>
      </c>
      <c r="V249" s="6"/>
      <c r="W249" s="5">
        <f>ROUND(W245-W248,5)</f>
        <v>0</v>
      </c>
      <c r="X249" s="6"/>
      <c r="Y249" s="5">
        <f>ROUND(Y245-Y248,5)</f>
        <v>0</v>
      </c>
      <c r="Z249" s="6"/>
      <c r="AA249" s="5">
        <f>ROUND(AA245-AA248,5)</f>
        <v>0</v>
      </c>
      <c r="AB249" s="6"/>
      <c r="AC249" s="5">
        <f>ROUND(AC245-AC248,5)</f>
        <v>0</v>
      </c>
      <c r="AD249" s="6"/>
      <c r="AE249" s="5">
        <f>ROUND(AE245-AE248,5)</f>
        <v>0</v>
      </c>
      <c r="AF249" s="6"/>
      <c r="AG249" s="5">
        <f>ROUND(AG245-AG248,5)</f>
        <v>0</v>
      </c>
      <c r="AH249" s="6"/>
      <c r="AI249" s="5">
        <f>ROUND(AI245-AI248,5)</f>
        <v>0</v>
      </c>
      <c r="AJ249" s="6"/>
      <c r="AK249" s="5">
        <f>ROUND(AK245-AK248,5)</f>
        <v>0</v>
      </c>
      <c r="AL249" s="6"/>
      <c r="AM249" s="5">
        <f>ROUND(AM245-AM248,5)</f>
        <v>0</v>
      </c>
      <c r="AN249" s="6"/>
      <c r="AO249" s="5">
        <f>ROUND(AO245-AO248,5)</f>
        <v>0</v>
      </c>
      <c r="AP249" s="6"/>
      <c r="AQ249" s="5">
        <f>ROUND(AQ245-AQ248,5)</f>
        <v>0</v>
      </c>
      <c r="AR249" s="6"/>
      <c r="AS249" s="5">
        <f>ROUND(AS245-AS248,5)</f>
        <v>0</v>
      </c>
      <c r="AT249" s="6"/>
      <c r="AU249" s="5">
        <f>ROUND(AU245-AU248,5)</f>
        <v>0</v>
      </c>
      <c r="AV249" s="6"/>
      <c r="AW249" s="5">
        <f>ROUND(AW245-AW248,5)</f>
        <v>0</v>
      </c>
      <c r="AX249" s="6"/>
      <c r="AY249" s="5">
        <f>ROUND(AY245-AY248,5)</f>
        <v>0</v>
      </c>
      <c r="AZ249" s="6"/>
      <c r="BA249" s="5">
        <f>ROUND(BA245-BA248,5)</f>
        <v>0</v>
      </c>
      <c r="BB249" s="6"/>
      <c r="BC249" s="5">
        <f>ROUND(BC245-BC248,5)</f>
        <v>0</v>
      </c>
      <c r="BD249" s="6"/>
      <c r="BE249" s="5">
        <f>ROUND(BE245-BE248,5)</f>
        <v>0</v>
      </c>
      <c r="BF249" s="6"/>
      <c r="BG249" s="5">
        <f>ROUND(BG245-BG248,5)</f>
        <v>0</v>
      </c>
      <c r="BH249" s="6"/>
      <c r="BI249" s="5">
        <f>ROUND(BI245-BI248,5)</f>
        <v>0</v>
      </c>
      <c r="BJ249" s="6"/>
      <c r="BK249" s="5">
        <f>ROUND(BK245-BK248,5)</f>
        <v>0</v>
      </c>
      <c r="BL249" s="6"/>
      <c r="BM249" s="5">
        <f>ROUND(BM245-BM248,5)</f>
        <v>0</v>
      </c>
      <c r="BN249" s="6"/>
      <c r="BO249" s="5">
        <f>ROUND(BO245-BO248,5)</f>
        <v>0</v>
      </c>
      <c r="BP249" s="6"/>
      <c r="BQ249" s="5">
        <f>ROUND(SUM(G249:BO249),5)</f>
        <v>-114644.31</v>
      </c>
    </row>
    <row r="250" spans="1:69" s="2" customFormat="1" ht="12" thickBot="1">
      <c r="A250" s="4" t="s">
        <v>78</v>
      </c>
      <c r="B250" s="4"/>
      <c r="C250" s="4"/>
      <c r="D250" s="4"/>
      <c r="E250" s="4"/>
      <c r="F250" s="4"/>
      <c r="G250" s="3">
        <f>ROUND(G244+G249,5)</f>
        <v>355035.93</v>
      </c>
      <c r="H250" s="4"/>
      <c r="I250" s="3">
        <f>ROUND(I244+I249,5)</f>
        <v>-862.99</v>
      </c>
      <c r="J250" s="4"/>
      <c r="K250" s="3">
        <f>ROUND(K244+K249,5)</f>
        <v>124843.8</v>
      </c>
      <c r="L250" s="4"/>
      <c r="M250" s="3">
        <f>ROUND(M244+M249,5)</f>
        <v>-116914.33</v>
      </c>
      <c r="N250" s="4"/>
      <c r="O250" s="3">
        <f>ROUND(O244+O249,5)</f>
        <v>948.08</v>
      </c>
      <c r="P250" s="4"/>
      <c r="Q250" s="3">
        <f>ROUND(Q244+Q249,5)</f>
        <v>1029.3800000000001</v>
      </c>
      <c r="R250" s="4"/>
      <c r="S250" s="3">
        <f>ROUND(S244+S249,5)</f>
        <v>-2664.95</v>
      </c>
      <c r="T250" s="4"/>
      <c r="U250" s="3">
        <f>ROUND(U244+U249,5)</f>
        <v>-33661.71</v>
      </c>
      <c r="V250" s="4"/>
      <c r="W250" s="3">
        <f>ROUND(W244+W249,5)</f>
        <v>-37581.57</v>
      </c>
      <c r="X250" s="4"/>
      <c r="Y250" s="3">
        <f>ROUND(Y244+Y249,5)</f>
        <v>-13360</v>
      </c>
      <c r="Z250" s="4"/>
      <c r="AA250" s="3">
        <f>ROUND(AA244+AA249,5)</f>
        <v>-38340.089999999997</v>
      </c>
      <c r="AB250" s="4"/>
      <c r="AC250" s="3">
        <f>ROUND(AC244+AC249,5)</f>
        <v>259000</v>
      </c>
      <c r="AD250" s="4"/>
      <c r="AE250" s="3">
        <f>ROUND(AE244+AE249,5)</f>
        <v>0</v>
      </c>
      <c r="AF250" s="4"/>
      <c r="AG250" s="3">
        <f>ROUND(AG244+AG249,5)</f>
        <v>-114325.28</v>
      </c>
      <c r="AH250" s="4"/>
      <c r="AI250" s="3">
        <f>ROUND(AI244+AI249,5)</f>
        <v>-586.04999999999995</v>
      </c>
      <c r="AJ250" s="4"/>
      <c r="AK250" s="3">
        <f>ROUND(AK244+AK249,5)</f>
        <v>0</v>
      </c>
      <c r="AL250" s="4"/>
      <c r="AM250" s="3">
        <f>ROUND(AM244+AM249,5)</f>
        <v>45305.84</v>
      </c>
      <c r="AN250" s="4"/>
      <c r="AO250" s="3">
        <f>ROUND(AO244+AO249,5)</f>
        <v>0</v>
      </c>
      <c r="AP250" s="4"/>
      <c r="AQ250" s="3">
        <f>ROUND(AQ244+AQ249,5)</f>
        <v>0</v>
      </c>
      <c r="AR250" s="4"/>
      <c r="AS250" s="3">
        <f>ROUND(AS244+AS249,5)</f>
        <v>0</v>
      </c>
      <c r="AT250" s="4"/>
      <c r="AU250" s="3">
        <f>ROUND(AU244+AU249,5)</f>
        <v>0</v>
      </c>
      <c r="AV250" s="4"/>
      <c r="AW250" s="3">
        <f>ROUND(AW244+AW249,5)</f>
        <v>0</v>
      </c>
      <c r="AX250" s="4"/>
      <c r="AY250" s="3">
        <f>ROUND(AY244+AY249,5)</f>
        <v>0</v>
      </c>
      <c r="AZ250" s="4"/>
      <c r="BA250" s="3">
        <f>ROUND(BA244+BA249,5)</f>
        <v>0</v>
      </c>
      <c r="BB250" s="4"/>
      <c r="BC250" s="3">
        <f>ROUND(BC244+BC249,5)</f>
        <v>0</v>
      </c>
      <c r="BD250" s="4"/>
      <c r="BE250" s="3">
        <f>ROUND(BE244+BE249,5)</f>
        <v>0</v>
      </c>
      <c r="BF250" s="4"/>
      <c r="BG250" s="3">
        <f>ROUND(BG244+BG249,5)</f>
        <v>0</v>
      </c>
      <c r="BH250" s="4"/>
      <c r="BI250" s="3">
        <f>ROUND(BI244+BI249,5)</f>
        <v>0</v>
      </c>
      <c r="BJ250" s="4"/>
      <c r="BK250" s="3">
        <f>ROUND(BK244+BK249,5)</f>
        <v>0</v>
      </c>
      <c r="BL250" s="4"/>
      <c r="BM250" s="3">
        <f>ROUND(BM244+BM249,5)</f>
        <v>0</v>
      </c>
      <c r="BN250" s="4"/>
      <c r="BO250" s="3">
        <f>ROUND(BO244+BO249,5)</f>
        <v>0</v>
      </c>
      <c r="BP250" s="4"/>
      <c r="BQ250" s="3">
        <f>ROUND(SUM(G250:BO250),5)</f>
        <v>427866.06</v>
      </c>
    </row>
    <row r="251" spans="1:69" ht="15.75" thickTop="1"/>
  </sheetData>
  <pageMargins left="0.7" right="0.7" top="1" bottom="0.75" header="0.1" footer="0.3"/>
  <pageSetup scale="90" orientation="landscape" r:id="rId1"/>
  <headerFooter>
    <oddHeader>&amp;L&amp;"Arial,Bold"&amp;8 11:50 AM
&amp;"Arial,Bold"&amp;8 07/28/26
&amp;"Arial,Bold"&amp;8 Accrual Basis&amp;C&amp;"Arial,Bold"&amp;12 Believe Schools Inc
&amp;"Arial,Bold"&amp;14 Profit &amp;&amp; Loss
&amp;"Arial,Bold"&amp;10 July 2025 through June 2026</oddHeader>
    <oddFooter>&amp;R&amp;"Arial,Bold"&amp;8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4CA7-8E5B-46F5-BB06-4425BC79D3E9}">
  <dimension ref="A1:M264"/>
  <sheetViews>
    <sheetView workbookViewId="0">
      <pane xSplit="6" ySplit="2" topLeftCell="G235" activePane="bottomRight" state="frozenSplit"/>
      <selection pane="bottomRight"/>
      <selection pane="bottomLeft" activeCell="A3" sqref="A3"/>
      <selection pane="topRight" activeCell="G1" sqref="G1"/>
    </sheetView>
  </sheetViews>
  <sheetFormatPr defaultRowHeight="15"/>
  <cols>
    <col min="1" max="5" width="3" style="2" customWidth="1"/>
    <col min="6" max="6" width="31.5703125" style="2" customWidth="1"/>
    <col min="7" max="7" width="12.28515625" bestFit="1" customWidth="1"/>
    <col min="8" max="8" width="2.28515625" customWidth="1"/>
    <col min="9" max="9" width="10" bestFit="1" customWidth="1"/>
    <col min="10" max="10" width="2.28515625" customWidth="1"/>
    <col min="11" max="11" width="12" bestFit="1" customWidth="1"/>
    <col min="12" max="12" width="2.28515625" customWidth="1"/>
    <col min="13" max="13" width="10.28515625" bestFit="1" customWidth="1"/>
  </cols>
  <sheetData>
    <row r="1" spans="1:13" ht="15.75" thickBot="1">
      <c r="A1" s="4"/>
      <c r="B1" s="4"/>
      <c r="C1" s="4"/>
      <c r="D1" s="4"/>
      <c r="E1" s="4"/>
      <c r="F1" s="4"/>
      <c r="G1" s="19"/>
      <c r="H1" s="20"/>
      <c r="I1" s="19"/>
      <c r="J1" s="20"/>
      <c r="K1" s="19"/>
      <c r="L1" s="20"/>
      <c r="M1" s="19"/>
    </row>
    <row r="2" spans="1:13" s="1" customFormat="1" ht="16.5" thickTop="1" thickBot="1">
      <c r="A2" s="12"/>
      <c r="B2" s="12"/>
      <c r="C2" s="12"/>
      <c r="D2" s="12"/>
      <c r="E2" s="12"/>
      <c r="F2" s="12"/>
      <c r="G2" s="18" t="s">
        <v>82</v>
      </c>
      <c r="H2" s="11"/>
      <c r="I2" s="18" t="s">
        <v>353</v>
      </c>
      <c r="J2" s="11"/>
      <c r="K2" s="18" t="s">
        <v>354</v>
      </c>
      <c r="L2" s="11"/>
      <c r="M2" s="18" t="s">
        <v>355</v>
      </c>
    </row>
    <row r="3" spans="1:13" ht="15.75" thickTop="1">
      <c r="A3" s="4"/>
      <c r="B3" s="4" t="s">
        <v>83</v>
      </c>
      <c r="C3" s="4"/>
      <c r="D3" s="4"/>
      <c r="E3" s="4"/>
      <c r="F3" s="4"/>
      <c r="G3" s="7"/>
      <c r="H3" s="6"/>
      <c r="I3" s="7"/>
      <c r="J3" s="6"/>
      <c r="K3" s="7"/>
      <c r="L3" s="6"/>
      <c r="M3" s="15"/>
    </row>
    <row r="4" spans="1:13">
      <c r="A4" s="4"/>
      <c r="B4" s="4"/>
      <c r="C4" s="4"/>
      <c r="D4" s="4" t="s">
        <v>84</v>
      </c>
      <c r="E4" s="4"/>
      <c r="F4" s="4"/>
      <c r="G4" s="7"/>
      <c r="H4" s="6"/>
      <c r="I4" s="7"/>
      <c r="J4" s="6"/>
      <c r="K4" s="7"/>
      <c r="L4" s="6"/>
      <c r="M4" s="15"/>
    </row>
    <row r="5" spans="1:13">
      <c r="A5" s="4"/>
      <c r="B5" s="4"/>
      <c r="C5" s="4"/>
      <c r="D5" s="4"/>
      <c r="E5" s="4" t="s">
        <v>85</v>
      </c>
      <c r="F5" s="4"/>
      <c r="G5" s="7">
        <v>134599.72</v>
      </c>
      <c r="H5" s="6"/>
      <c r="I5" s="7">
        <v>0</v>
      </c>
      <c r="J5" s="6"/>
      <c r="K5" s="7">
        <f>ROUND((G5-I5),5)</f>
        <v>134599.72</v>
      </c>
      <c r="L5" s="6"/>
      <c r="M5" s="15">
        <f>ROUND(IF(I5=0, IF(G5=0, 0, 1), G5/I5),5)</f>
        <v>1</v>
      </c>
    </row>
    <row r="6" spans="1:13">
      <c r="A6" s="4"/>
      <c r="B6" s="4"/>
      <c r="C6" s="4"/>
      <c r="D6" s="4"/>
      <c r="E6" s="4" t="s">
        <v>86</v>
      </c>
      <c r="F6" s="4"/>
      <c r="G6" s="7">
        <v>23136.03</v>
      </c>
      <c r="H6" s="6"/>
      <c r="I6" s="7">
        <v>17137</v>
      </c>
      <c r="J6" s="6"/>
      <c r="K6" s="7">
        <f>ROUND((G6-I6),5)</f>
        <v>5999.03</v>
      </c>
      <c r="L6" s="6"/>
      <c r="M6" s="15">
        <f>ROUND(IF(I6=0, IF(G6=0, 0, 1), G6/I6),5)</f>
        <v>1.35006</v>
      </c>
    </row>
    <row r="7" spans="1:13">
      <c r="A7" s="4"/>
      <c r="B7" s="4"/>
      <c r="C7" s="4"/>
      <c r="D7" s="4"/>
      <c r="E7" s="4" t="s">
        <v>87</v>
      </c>
      <c r="F7" s="4"/>
      <c r="G7" s="7">
        <v>37417.120000000003</v>
      </c>
      <c r="H7" s="6"/>
      <c r="I7" s="7">
        <v>30000</v>
      </c>
      <c r="J7" s="6"/>
      <c r="K7" s="7">
        <f>ROUND((G7-I7),5)</f>
        <v>7417.12</v>
      </c>
      <c r="L7" s="6"/>
      <c r="M7" s="15">
        <f>ROUND(IF(I7=0, IF(G7=0, 0, 1), G7/I7),5)</f>
        <v>1.2472399999999999</v>
      </c>
    </row>
    <row r="8" spans="1:13">
      <c r="A8" s="4"/>
      <c r="B8" s="4"/>
      <c r="C8" s="4"/>
      <c r="D8" s="4"/>
      <c r="E8" s="4" t="s">
        <v>88</v>
      </c>
      <c r="F8" s="4"/>
      <c r="G8" s="7">
        <v>352620.7</v>
      </c>
      <c r="H8" s="6"/>
      <c r="I8" s="7">
        <v>350000</v>
      </c>
      <c r="J8" s="6"/>
      <c r="K8" s="7">
        <f>ROUND((G8-I8),5)</f>
        <v>2620.6999999999998</v>
      </c>
      <c r="L8" s="6"/>
      <c r="M8" s="15">
        <f>ROUND(IF(I8=0, IF(G8=0, 0, 1), G8/I8),5)</f>
        <v>1.00749</v>
      </c>
    </row>
    <row r="9" spans="1:13">
      <c r="A9" s="4"/>
      <c r="B9" s="4"/>
      <c r="C9" s="4"/>
      <c r="D9" s="4"/>
      <c r="E9" s="4" t="s">
        <v>90</v>
      </c>
      <c r="F9" s="4"/>
      <c r="G9" s="7">
        <v>23100.13</v>
      </c>
      <c r="H9" s="6"/>
      <c r="I9" s="7">
        <v>0</v>
      </c>
      <c r="J9" s="6"/>
      <c r="K9" s="7">
        <f>ROUND((G9-I9),5)</f>
        <v>23100.13</v>
      </c>
      <c r="L9" s="6"/>
      <c r="M9" s="15">
        <f>ROUND(IF(I9=0, IF(G9=0, 0, 1), G9/I9),5)</f>
        <v>1</v>
      </c>
    </row>
    <row r="10" spans="1:13">
      <c r="A10" s="4"/>
      <c r="B10" s="4"/>
      <c r="C10" s="4"/>
      <c r="D10" s="4"/>
      <c r="E10" s="4" t="s">
        <v>91</v>
      </c>
      <c r="F10" s="4"/>
      <c r="G10" s="7">
        <v>2883835.74</v>
      </c>
      <c r="H10" s="6"/>
      <c r="I10" s="7">
        <v>2981304</v>
      </c>
      <c r="J10" s="6"/>
      <c r="K10" s="7">
        <f>ROUND((G10-I10),5)</f>
        <v>-97468.26</v>
      </c>
      <c r="L10" s="6"/>
      <c r="M10" s="15">
        <f>ROUND(IF(I10=0, IF(G10=0, 0, 1), G10/I10),5)</f>
        <v>0.96731</v>
      </c>
    </row>
    <row r="11" spans="1:13">
      <c r="A11" s="4"/>
      <c r="B11" s="4"/>
      <c r="C11" s="4"/>
      <c r="D11" s="4"/>
      <c r="E11" s="4" t="s">
        <v>93</v>
      </c>
      <c r="F11" s="4"/>
      <c r="G11" s="7">
        <v>124843.8</v>
      </c>
      <c r="H11" s="6"/>
      <c r="I11" s="7">
        <v>108060</v>
      </c>
      <c r="J11" s="6"/>
      <c r="K11" s="7">
        <f>ROUND((G11-I11),5)</f>
        <v>16783.8</v>
      </c>
      <c r="L11" s="6"/>
      <c r="M11" s="15">
        <f>ROUND(IF(I11=0, IF(G11=0, 0, 1), G11/I11),5)</f>
        <v>1.1553199999999999</v>
      </c>
    </row>
    <row r="12" spans="1:13">
      <c r="A12" s="4"/>
      <c r="B12" s="4"/>
      <c r="C12" s="4"/>
      <c r="D12" s="4"/>
      <c r="E12" s="4" t="s">
        <v>94</v>
      </c>
      <c r="F12" s="4"/>
      <c r="G12" s="7">
        <v>429800</v>
      </c>
      <c r="H12" s="6"/>
      <c r="I12" s="7">
        <v>444108</v>
      </c>
      <c r="J12" s="6"/>
      <c r="K12" s="7">
        <f>ROUND((G12-I12),5)</f>
        <v>-14308</v>
      </c>
      <c r="L12" s="6"/>
      <c r="M12" s="15">
        <f>ROUND(IF(I12=0, IF(G12=0, 0, 1), G12/I12),5)</f>
        <v>0.96777999999999997</v>
      </c>
    </row>
    <row r="13" spans="1:13">
      <c r="A13" s="4"/>
      <c r="B13" s="4"/>
      <c r="C13" s="4"/>
      <c r="D13" s="4"/>
      <c r="E13" s="4" t="s">
        <v>356</v>
      </c>
      <c r="F13" s="4"/>
      <c r="G13" s="7">
        <v>0</v>
      </c>
      <c r="H13" s="6"/>
      <c r="I13" s="7">
        <v>773</v>
      </c>
      <c r="J13" s="6"/>
      <c r="K13" s="7">
        <f>ROUND((G13-I13),5)</f>
        <v>-773</v>
      </c>
      <c r="L13" s="6"/>
      <c r="M13" s="15">
        <f>ROUND(IF(I13=0, IF(G13=0, 0, 1), G13/I13),5)</f>
        <v>0</v>
      </c>
    </row>
    <row r="14" spans="1:13">
      <c r="A14" s="4"/>
      <c r="B14" s="4"/>
      <c r="C14" s="4"/>
      <c r="D14" s="4"/>
      <c r="E14" s="4" t="s">
        <v>95</v>
      </c>
      <c r="F14" s="4"/>
      <c r="G14" s="7">
        <v>2999.68</v>
      </c>
      <c r="H14" s="6"/>
      <c r="I14" s="7">
        <v>3426</v>
      </c>
      <c r="J14" s="6"/>
      <c r="K14" s="7">
        <f>ROUND((G14-I14),5)</f>
        <v>-426.32</v>
      </c>
      <c r="L14" s="6"/>
      <c r="M14" s="15">
        <f>ROUND(IF(I14=0, IF(G14=0, 0, 1), G14/I14),5)</f>
        <v>0.87556</v>
      </c>
    </row>
    <row r="15" spans="1:13">
      <c r="A15" s="4"/>
      <c r="B15" s="4"/>
      <c r="C15" s="4"/>
      <c r="D15" s="4"/>
      <c r="E15" s="4" t="s">
        <v>357</v>
      </c>
      <c r="F15" s="4"/>
      <c r="G15" s="7">
        <v>0</v>
      </c>
      <c r="H15" s="6"/>
      <c r="I15" s="7">
        <v>670</v>
      </c>
      <c r="J15" s="6"/>
      <c r="K15" s="7">
        <f>ROUND((G15-I15),5)</f>
        <v>-670</v>
      </c>
      <c r="L15" s="6"/>
      <c r="M15" s="15">
        <f>ROUND(IF(I15=0, IF(G15=0, 0, 1), G15/I15),5)</f>
        <v>0</v>
      </c>
    </row>
    <row r="16" spans="1:13">
      <c r="A16" s="4"/>
      <c r="B16" s="4"/>
      <c r="C16" s="4"/>
      <c r="D16" s="4"/>
      <c r="E16" s="4" t="s">
        <v>96</v>
      </c>
      <c r="F16" s="4"/>
      <c r="G16" s="7">
        <v>22413.99</v>
      </c>
      <c r="H16" s="6"/>
      <c r="I16" s="7">
        <v>9171</v>
      </c>
      <c r="J16" s="6"/>
      <c r="K16" s="7">
        <f>ROUND((G16-I16),5)</f>
        <v>13242.99</v>
      </c>
      <c r="L16" s="6"/>
      <c r="M16" s="15">
        <f>ROUND(IF(I16=0, IF(G16=0, 0, 1), G16/I16),5)</f>
        <v>2.44401</v>
      </c>
    </row>
    <row r="17" spans="1:13">
      <c r="A17" s="4"/>
      <c r="B17" s="4"/>
      <c r="C17" s="4"/>
      <c r="D17" s="4"/>
      <c r="E17" s="4" t="s">
        <v>358</v>
      </c>
      <c r="F17" s="4"/>
      <c r="G17" s="7">
        <v>0</v>
      </c>
      <c r="H17" s="6"/>
      <c r="I17" s="7">
        <v>3593</v>
      </c>
      <c r="J17" s="6"/>
      <c r="K17" s="7">
        <f>ROUND((G17-I17),5)</f>
        <v>-3593</v>
      </c>
      <c r="L17" s="6"/>
      <c r="M17" s="15">
        <f>ROUND(IF(I17=0, IF(G17=0, 0, 1), G17/I17),5)</f>
        <v>0</v>
      </c>
    </row>
    <row r="18" spans="1:13">
      <c r="A18" s="4"/>
      <c r="B18" s="4"/>
      <c r="C18" s="4"/>
      <c r="D18" s="4"/>
      <c r="E18" s="4" t="s">
        <v>97</v>
      </c>
      <c r="F18" s="4"/>
      <c r="G18" s="7">
        <v>12254.29</v>
      </c>
      <c r="H18" s="6"/>
      <c r="I18" s="7">
        <v>12714</v>
      </c>
      <c r="J18" s="6"/>
      <c r="K18" s="7">
        <f>ROUND((G18-I18),5)</f>
        <v>-459.71</v>
      </c>
      <c r="L18" s="6"/>
      <c r="M18" s="15">
        <f>ROUND(IF(I18=0, IF(G18=0, 0, 1), G18/I18),5)</f>
        <v>0.96384000000000003</v>
      </c>
    </row>
    <row r="19" spans="1:13">
      <c r="A19" s="4"/>
      <c r="B19" s="4"/>
      <c r="C19" s="4"/>
      <c r="D19" s="4"/>
      <c r="E19" s="4" t="s">
        <v>359</v>
      </c>
      <c r="F19" s="4"/>
      <c r="G19" s="7">
        <v>0</v>
      </c>
      <c r="H19" s="6"/>
      <c r="I19" s="7">
        <v>53686</v>
      </c>
      <c r="J19" s="6"/>
      <c r="K19" s="7">
        <f>ROUND((G19-I19),5)</f>
        <v>-53686</v>
      </c>
      <c r="L19" s="6"/>
      <c r="M19" s="15">
        <f>ROUND(IF(I19=0, IF(G19=0, 0, 1), G19/I19),5)</f>
        <v>0</v>
      </c>
    </row>
    <row r="20" spans="1:13">
      <c r="A20" s="4"/>
      <c r="B20" s="4"/>
      <c r="C20" s="4"/>
      <c r="D20" s="4"/>
      <c r="E20" s="4" t="s">
        <v>98</v>
      </c>
      <c r="F20" s="4"/>
      <c r="G20" s="7">
        <v>1029.3800000000001</v>
      </c>
      <c r="H20" s="6"/>
      <c r="I20" s="7">
        <v>51504</v>
      </c>
      <c r="J20" s="6"/>
      <c r="K20" s="7">
        <f>ROUND((G20-I20),5)</f>
        <v>-50474.62</v>
      </c>
      <c r="L20" s="6"/>
      <c r="M20" s="15">
        <f>ROUND(IF(I20=0, IF(G20=0, 0, 1), G20/I20),5)</f>
        <v>1.9990000000000001E-2</v>
      </c>
    </row>
    <row r="21" spans="1:13">
      <c r="A21" s="4"/>
      <c r="B21" s="4"/>
      <c r="C21" s="4"/>
      <c r="D21" s="4"/>
      <c r="E21" s="4" t="s">
        <v>360</v>
      </c>
      <c r="F21" s="4"/>
      <c r="G21" s="7">
        <v>0</v>
      </c>
      <c r="H21" s="6"/>
      <c r="I21" s="7">
        <v>63170</v>
      </c>
      <c r="J21" s="6"/>
      <c r="K21" s="7">
        <f>ROUND((G21-I21),5)</f>
        <v>-63170</v>
      </c>
      <c r="L21" s="6"/>
      <c r="M21" s="15">
        <f>ROUND(IF(I21=0, IF(G21=0, 0, 1), G21/I21),5)</f>
        <v>0</v>
      </c>
    </row>
    <row r="22" spans="1:13">
      <c r="A22" s="4"/>
      <c r="B22" s="4"/>
      <c r="C22" s="4"/>
      <c r="D22" s="4"/>
      <c r="E22" s="4" t="s">
        <v>99</v>
      </c>
      <c r="F22" s="4"/>
      <c r="G22" s="7">
        <v>33175.97</v>
      </c>
      <c r="H22" s="6"/>
      <c r="I22" s="7">
        <v>51261</v>
      </c>
      <c r="J22" s="6"/>
      <c r="K22" s="7">
        <f>ROUND((G22-I22),5)</f>
        <v>-18085.03</v>
      </c>
      <c r="L22" s="6"/>
      <c r="M22" s="15">
        <f>ROUND(IF(I22=0, IF(G22=0, 0, 1), G22/I22),5)</f>
        <v>0.6472</v>
      </c>
    </row>
    <row r="23" spans="1:13">
      <c r="A23" s="4"/>
      <c r="B23" s="4"/>
      <c r="C23" s="4"/>
      <c r="D23" s="4"/>
      <c r="E23" s="4" t="s">
        <v>100</v>
      </c>
      <c r="F23" s="4"/>
      <c r="G23" s="7">
        <v>141045.66</v>
      </c>
      <c r="H23" s="6"/>
      <c r="I23" s="7">
        <v>271466</v>
      </c>
      <c r="J23" s="6"/>
      <c r="K23" s="7">
        <f>ROUND((G23-I23),5)</f>
        <v>-130420.34</v>
      </c>
      <c r="L23" s="6"/>
      <c r="M23" s="15">
        <f>ROUND(IF(I23=0, IF(G23=0, 0, 1), G23/I23),5)</f>
        <v>0.51956999999999998</v>
      </c>
    </row>
    <row r="24" spans="1:13">
      <c r="A24" s="4"/>
      <c r="B24" s="4"/>
      <c r="C24" s="4"/>
      <c r="D24" s="4"/>
      <c r="E24" s="4" t="s">
        <v>101</v>
      </c>
      <c r="F24" s="4"/>
      <c r="G24" s="7">
        <v>29458.799999999999</v>
      </c>
      <c r="H24" s="6"/>
      <c r="I24" s="7">
        <v>59913</v>
      </c>
      <c r="J24" s="6"/>
      <c r="K24" s="7">
        <f>ROUND((G24-I24),5)</f>
        <v>-30454.2</v>
      </c>
      <c r="L24" s="6"/>
      <c r="M24" s="15">
        <f>ROUND(IF(I24=0, IF(G24=0, 0, 1), G24/I24),5)</f>
        <v>0.49169000000000002</v>
      </c>
    </row>
    <row r="25" spans="1:13">
      <c r="A25" s="4"/>
      <c r="B25" s="4"/>
      <c r="C25" s="4"/>
      <c r="D25" s="4"/>
      <c r="E25" s="4" t="s">
        <v>102</v>
      </c>
      <c r="F25" s="4"/>
      <c r="G25" s="7">
        <v>447030.8</v>
      </c>
      <c r="H25" s="6"/>
      <c r="I25" s="7">
        <v>351000</v>
      </c>
      <c r="J25" s="6"/>
      <c r="K25" s="7">
        <f>ROUND((G25-I25),5)</f>
        <v>96030.8</v>
      </c>
      <c r="L25" s="6"/>
      <c r="M25" s="15">
        <f>ROUND(IF(I25=0, IF(G25=0, 0, 1), G25/I25),5)</f>
        <v>1.27359</v>
      </c>
    </row>
    <row r="26" spans="1:13">
      <c r="A26" s="4"/>
      <c r="B26" s="4"/>
      <c r="C26" s="4"/>
      <c r="D26" s="4"/>
      <c r="E26" s="4" t="s">
        <v>103</v>
      </c>
      <c r="F26" s="4"/>
      <c r="G26" s="7">
        <v>197055.03</v>
      </c>
      <c r="H26" s="6"/>
      <c r="I26" s="7">
        <v>267065</v>
      </c>
      <c r="J26" s="6"/>
      <c r="K26" s="7">
        <f>ROUND((G26-I26),5)</f>
        <v>-70009.97</v>
      </c>
      <c r="L26" s="6"/>
      <c r="M26" s="15">
        <f>ROUND(IF(I26=0, IF(G26=0, 0, 1), G26/I26),5)</f>
        <v>0.73785000000000001</v>
      </c>
    </row>
    <row r="27" spans="1:13">
      <c r="A27" s="4"/>
      <c r="B27" s="4"/>
      <c r="C27" s="4"/>
      <c r="D27" s="4"/>
      <c r="E27" s="4" t="s">
        <v>104</v>
      </c>
      <c r="F27" s="4"/>
      <c r="G27" s="7">
        <v>16324.95</v>
      </c>
      <c r="H27" s="6"/>
      <c r="I27" s="7">
        <v>20000</v>
      </c>
      <c r="J27" s="6"/>
      <c r="K27" s="7">
        <f>ROUND((G27-I27),5)</f>
        <v>-3675.05</v>
      </c>
      <c r="L27" s="6"/>
      <c r="M27" s="15">
        <f>ROUND(IF(I27=0, IF(G27=0, 0, 1), G27/I27),5)</f>
        <v>0.81625000000000003</v>
      </c>
    </row>
    <row r="28" spans="1:13">
      <c r="A28" s="4"/>
      <c r="B28" s="4"/>
      <c r="C28" s="4"/>
      <c r="D28" s="4"/>
      <c r="E28" s="4" t="s">
        <v>105</v>
      </c>
      <c r="F28" s="4"/>
      <c r="G28" s="7">
        <v>9747.34</v>
      </c>
      <c r="H28" s="6"/>
      <c r="I28" s="7">
        <v>50313</v>
      </c>
      <c r="J28" s="6"/>
      <c r="K28" s="7">
        <f>ROUND((G28-I28),5)</f>
        <v>-40565.660000000003</v>
      </c>
      <c r="L28" s="6"/>
      <c r="M28" s="15">
        <f>ROUND(IF(I28=0, IF(G28=0, 0, 1), G28/I28),5)</f>
        <v>0.19373000000000001</v>
      </c>
    </row>
    <row r="29" spans="1:13">
      <c r="A29" s="4"/>
      <c r="B29" s="4"/>
      <c r="C29" s="4"/>
      <c r="D29" s="4"/>
      <c r="E29" s="4" t="s">
        <v>361</v>
      </c>
      <c r="F29" s="4"/>
      <c r="G29" s="7">
        <v>0</v>
      </c>
      <c r="H29" s="6"/>
      <c r="I29" s="7">
        <v>24059</v>
      </c>
      <c r="J29" s="6"/>
      <c r="K29" s="7">
        <f>ROUND((G29-I29),5)</f>
        <v>-24059</v>
      </c>
      <c r="L29" s="6"/>
      <c r="M29" s="15">
        <f>ROUND(IF(I29=0, IF(G29=0, 0, 1), G29/I29),5)</f>
        <v>0</v>
      </c>
    </row>
    <row r="30" spans="1:13">
      <c r="A30" s="4"/>
      <c r="B30" s="4"/>
      <c r="C30" s="4"/>
      <c r="D30" s="4"/>
      <c r="E30" s="4" t="s">
        <v>106</v>
      </c>
      <c r="F30" s="4"/>
      <c r="G30" s="7"/>
      <c r="H30" s="6"/>
      <c r="I30" s="7"/>
      <c r="J30" s="6"/>
      <c r="K30" s="7"/>
      <c r="L30" s="6"/>
      <c r="M30" s="15"/>
    </row>
    <row r="31" spans="1:13" ht="15.75" thickBot="1">
      <c r="A31" s="4"/>
      <c r="B31" s="4"/>
      <c r="C31" s="4"/>
      <c r="D31" s="4"/>
      <c r="E31" s="4"/>
      <c r="F31" s="4" t="s">
        <v>107</v>
      </c>
      <c r="G31" s="9">
        <v>5860</v>
      </c>
      <c r="H31" s="6"/>
      <c r="I31" s="9">
        <v>0</v>
      </c>
      <c r="J31" s="6"/>
      <c r="K31" s="9">
        <f>ROUND((G31-I31),5)</f>
        <v>5860</v>
      </c>
      <c r="L31" s="6"/>
      <c r="M31" s="17">
        <f>ROUND(IF(I31=0, IF(G31=0, 0, 1), G31/I31),5)</f>
        <v>1</v>
      </c>
    </row>
    <row r="32" spans="1:13">
      <c r="A32" s="4"/>
      <c r="B32" s="4"/>
      <c r="C32" s="4"/>
      <c r="D32" s="4"/>
      <c r="E32" s="4" t="s">
        <v>108</v>
      </c>
      <c r="F32" s="4"/>
      <c r="G32" s="7">
        <f>ROUND(SUM(G30:G31),5)</f>
        <v>5860</v>
      </c>
      <c r="H32" s="6"/>
      <c r="I32" s="7">
        <f>ROUND(SUM(I30:I31),5)</f>
        <v>0</v>
      </c>
      <c r="J32" s="6"/>
      <c r="K32" s="7">
        <f>ROUND((G32-I32),5)</f>
        <v>5860</v>
      </c>
      <c r="L32" s="6"/>
      <c r="M32" s="15">
        <f>ROUND(IF(I32=0, IF(G32=0, 0, 1), G32/I32),5)</f>
        <v>1</v>
      </c>
    </row>
    <row r="33" spans="1:13">
      <c r="A33" s="4"/>
      <c r="B33" s="4"/>
      <c r="C33" s="4"/>
      <c r="D33" s="4"/>
      <c r="E33" s="4" t="s">
        <v>109</v>
      </c>
      <c r="F33" s="4"/>
      <c r="G33" s="7">
        <v>1691013.91</v>
      </c>
      <c r="H33" s="6"/>
      <c r="I33" s="7">
        <v>0</v>
      </c>
      <c r="J33" s="6"/>
      <c r="K33" s="7">
        <f>ROUND((G33-I33),5)</f>
        <v>1691013.91</v>
      </c>
      <c r="L33" s="6"/>
      <c r="M33" s="15">
        <f>ROUND(IF(I33=0, IF(G33=0, 0, 1), G33/I33),5)</f>
        <v>1</v>
      </c>
    </row>
    <row r="34" spans="1:13">
      <c r="A34" s="4"/>
      <c r="B34" s="4"/>
      <c r="C34" s="4"/>
      <c r="D34" s="4"/>
      <c r="E34" s="4" t="s">
        <v>110</v>
      </c>
      <c r="F34" s="4"/>
      <c r="G34" s="7">
        <v>1046883.59</v>
      </c>
      <c r="H34" s="6"/>
      <c r="I34" s="7">
        <v>0</v>
      </c>
      <c r="J34" s="6"/>
      <c r="K34" s="7">
        <f>ROUND((G34-I34),5)</f>
        <v>1046883.59</v>
      </c>
      <c r="L34" s="6"/>
      <c r="M34" s="15">
        <f>ROUND(IF(I34=0, IF(G34=0, 0, 1), G34/I34),5)</f>
        <v>1</v>
      </c>
    </row>
    <row r="35" spans="1:13" ht="15.75" thickBot="1">
      <c r="A35" s="4"/>
      <c r="B35" s="4"/>
      <c r="C35" s="4"/>
      <c r="D35" s="4"/>
      <c r="E35" s="4" t="s">
        <v>111</v>
      </c>
      <c r="F35" s="4"/>
      <c r="G35" s="7">
        <v>21389.71</v>
      </c>
      <c r="H35" s="6"/>
      <c r="I35" s="7">
        <v>0</v>
      </c>
      <c r="J35" s="6"/>
      <c r="K35" s="7">
        <f>ROUND((G35-I35),5)</f>
        <v>21389.71</v>
      </c>
      <c r="L35" s="6"/>
      <c r="M35" s="15">
        <f>ROUND(IF(I35=0, IF(G35=0, 0, 1), G35/I35),5)</f>
        <v>1</v>
      </c>
    </row>
    <row r="36" spans="1:13" ht="15.75" thickBot="1">
      <c r="A36" s="4"/>
      <c r="B36" s="4"/>
      <c r="C36" s="4"/>
      <c r="D36" s="4" t="s">
        <v>112</v>
      </c>
      <c r="E36" s="4"/>
      <c r="F36" s="4"/>
      <c r="G36" s="8">
        <f>ROUND(SUM(G4:G29)+SUM(G32:G35),5)</f>
        <v>7687036.3399999999</v>
      </c>
      <c r="H36" s="6"/>
      <c r="I36" s="8">
        <f>ROUND(SUM(I4:I29)+SUM(I32:I35),5)</f>
        <v>5224393</v>
      </c>
      <c r="J36" s="6"/>
      <c r="K36" s="8">
        <f>ROUND((G36-I36),5)</f>
        <v>2462643.34</v>
      </c>
      <c r="L36" s="6"/>
      <c r="M36" s="16">
        <f>ROUND(IF(I36=0, IF(G36=0, 0, 1), G36/I36),5)</f>
        <v>1.4713700000000001</v>
      </c>
    </row>
    <row r="37" spans="1:13">
      <c r="A37" s="4"/>
      <c r="B37" s="4"/>
      <c r="C37" s="4" t="s">
        <v>113</v>
      </c>
      <c r="D37" s="4"/>
      <c r="E37" s="4"/>
      <c r="F37" s="4"/>
      <c r="G37" s="7">
        <f>G36</f>
        <v>7687036.3399999999</v>
      </c>
      <c r="H37" s="6"/>
      <c r="I37" s="7">
        <f>I36</f>
        <v>5224393</v>
      </c>
      <c r="J37" s="6"/>
      <c r="K37" s="7">
        <f>ROUND((G37-I37),5)</f>
        <v>2462643.34</v>
      </c>
      <c r="L37" s="6"/>
      <c r="M37" s="15">
        <f>ROUND(IF(I37=0, IF(G37=0, 0, 1), G37/I37),5)</f>
        <v>1.4713700000000001</v>
      </c>
    </row>
    <row r="38" spans="1:13">
      <c r="A38" s="4"/>
      <c r="B38" s="4"/>
      <c r="C38" s="4"/>
      <c r="D38" s="4" t="s">
        <v>114</v>
      </c>
      <c r="E38" s="4"/>
      <c r="F38" s="4"/>
      <c r="G38" s="7"/>
      <c r="H38" s="6"/>
      <c r="I38" s="7"/>
      <c r="J38" s="6"/>
      <c r="K38" s="7"/>
      <c r="L38" s="6"/>
      <c r="M38" s="15"/>
    </row>
    <row r="39" spans="1:13">
      <c r="A39" s="4"/>
      <c r="B39" s="4"/>
      <c r="C39" s="4"/>
      <c r="D39" s="4"/>
      <c r="E39" s="4" t="s">
        <v>115</v>
      </c>
      <c r="F39" s="4"/>
      <c r="G39" s="7">
        <v>1691013.91</v>
      </c>
      <c r="H39" s="6"/>
      <c r="I39" s="7">
        <v>0</v>
      </c>
      <c r="J39" s="6"/>
      <c r="K39" s="7">
        <f>ROUND((G39-I39),5)</f>
        <v>1691013.91</v>
      </c>
      <c r="L39" s="6"/>
      <c r="M39" s="15">
        <f>ROUND(IF(I39=0, IF(G39=0, 0, 1), G39/I39),5)</f>
        <v>1</v>
      </c>
    </row>
    <row r="40" spans="1:13">
      <c r="A40" s="4"/>
      <c r="B40" s="4"/>
      <c r="C40" s="4"/>
      <c r="D40" s="4"/>
      <c r="E40" s="4" t="s">
        <v>116</v>
      </c>
      <c r="F40" s="4"/>
      <c r="G40" s="7">
        <v>1046883.59</v>
      </c>
      <c r="H40" s="6"/>
      <c r="I40" s="7">
        <v>0</v>
      </c>
      <c r="J40" s="6"/>
      <c r="K40" s="7">
        <f>ROUND((G40-I40),5)</f>
        <v>1046883.59</v>
      </c>
      <c r="L40" s="6"/>
      <c r="M40" s="15">
        <f>ROUND(IF(I40=0, IF(G40=0, 0, 1), G40/I40),5)</f>
        <v>1</v>
      </c>
    </row>
    <row r="41" spans="1:13">
      <c r="A41" s="4"/>
      <c r="B41" s="4"/>
      <c r="C41" s="4"/>
      <c r="D41" s="4"/>
      <c r="E41" s="4" t="s">
        <v>117</v>
      </c>
      <c r="F41" s="4"/>
      <c r="G41" s="7"/>
      <c r="H41" s="6"/>
      <c r="I41" s="7"/>
      <c r="J41" s="6"/>
      <c r="K41" s="7"/>
      <c r="L41" s="6"/>
      <c r="M41" s="15"/>
    </row>
    <row r="42" spans="1:13">
      <c r="A42" s="4"/>
      <c r="B42" s="4"/>
      <c r="C42" s="4"/>
      <c r="D42" s="4"/>
      <c r="E42" s="4"/>
      <c r="F42" s="4" t="s">
        <v>118</v>
      </c>
      <c r="G42" s="7">
        <v>822906.61</v>
      </c>
      <c r="H42" s="6"/>
      <c r="I42" s="7">
        <v>920000</v>
      </c>
      <c r="J42" s="6"/>
      <c r="K42" s="7">
        <f>ROUND((G42-I42),5)</f>
        <v>-97093.39</v>
      </c>
      <c r="L42" s="6"/>
      <c r="M42" s="15">
        <f>ROUND(IF(I42=0, IF(G42=0, 0, 1), G42/I42),5)</f>
        <v>0.89446000000000003</v>
      </c>
    </row>
    <row r="43" spans="1:13">
      <c r="A43" s="4"/>
      <c r="B43" s="4"/>
      <c r="C43" s="4"/>
      <c r="D43" s="4"/>
      <c r="E43" s="4"/>
      <c r="F43" s="4" t="s">
        <v>362</v>
      </c>
      <c r="G43" s="7">
        <v>0</v>
      </c>
      <c r="H43" s="6"/>
      <c r="I43" s="7">
        <v>93081</v>
      </c>
      <c r="J43" s="6"/>
      <c r="K43" s="7">
        <f>ROUND((G43-I43),5)</f>
        <v>-93081</v>
      </c>
      <c r="L43" s="6"/>
      <c r="M43" s="15">
        <f>ROUND(IF(I43=0, IF(G43=0, 0, 1), G43/I43),5)</f>
        <v>0</v>
      </c>
    </row>
    <row r="44" spans="1:13">
      <c r="A44" s="4"/>
      <c r="B44" s="4"/>
      <c r="C44" s="4"/>
      <c r="D44" s="4"/>
      <c r="E44" s="4"/>
      <c r="F44" s="4" t="s">
        <v>119</v>
      </c>
      <c r="G44" s="7">
        <v>2500</v>
      </c>
      <c r="H44" s="6"/>
      <c r="I44" s="7">
        <v>0</v>
      </c>
      <c r="J44" s="6"/>
      <c r="K44" s="7">
        <f>ROUND((G44-I44),5)</f>
        <v>2500</v>
      </c>
      <c r="L44" s="6"/>
      <c r="M44" s="15">
        <f>ROUND(IF(I44=0, IF(G44=0, 0, 1), G44/I44),5)</f>
        <v>1</v>
      </c>
    </row>
    <row r="45" spans="1:13">
      <c r="A45" s="4"/>
      <c r="B45" s="4"/>
      <c r="C45" s="4"/>
      <c r="D45" s="4"/>
      <c r="E45" s="4"/>
      <c r="F45" s="4" t="s">
        <v>120</v>
      </c>
      <c r="G45" s="7">
        <v>107826.85</v>
      </c>
      <c r="H45" s="6"/>
      <c r="I45" s="7">
        <v>97000</v>
      </c>
      <c r="J45" s="6"/>
      <c r="K45" s="7">
        <f>ROUND((G45-I45),5)</f>
        <v>10826.85</v>
      </c>
      <c r="L45" s="6"/>
      <c r="M45" s="15">
        <f>ROUND(IF(I45=0, IF(G45=0, 0, 1), G45/I45),5)</f>
        <v>1.1116200000000001</v>
      </c>
    </row>
    <row r="46" spans="1:13">
      <c r="A46" s="4"/>
      <c r="B46" s="4"/>
      <c r="C46" s="4"/>
      <c r="D46" s="4"/>
      <c r="E46" s="4"/>
      <c r="F46" s="4" t="s">
        <v>121</v>
      </c>
      <c r="G46" s="7">
        <v>17787.5</v>
      </c>
      <c r="H46" s="6"/>
      <c r="I46" s="7">
        <v>0</v>
      </c>
      <c r="J46" s="6"/>
      <c r="K46" s="7">
        <f>ROUND((G46-I46),5)</f>
        <v>17787.5</v>
      </c>
      <c r="L46" s="6"/>
      <c r="M46" s="15">
        <f>ROUND(IF(I46=0, IF(G46=0, 0, 1), G46/I46),5)</f>
        <v>1</v>
      </c>
    </row>
    <row r="47" spans="1:13">
      <c r="A47" s="4"/>
      <c r="B47" s="4"/>
      <c r="C47" s="4"/>
      <c r="D47" s="4"/>
      <c r="E47" s="4"/>
      <c r="F47" s="4" t="s">
        <v>122</v>
      </c>
      <c r="G47" s="7">
        <v>705</v>
      </c>
      <c r="H47" s="6"/>
      <c r="I47" s="7">
        <v>0</v>
      </c>
      <c r="J47" s="6"/>
      <c r="K47" s="7">
        <f>ROUND((G47-I47),5)</f>
        <v>705</v>
      </c>
      <c r="L47" s="6"/>
      <c r="M47" s="15">
        <f>ROUND(IF(I47=0, IF(G47=0, 0, 1), G47/I47),5)</f>
        <v>1</v>
      </c>
    </row>
    <row r="48" spans="1:13">
      <c r="A48" s="4"/>
      <c r="B48" s="4"/>
      <c r="C48" s="4"/>
      <c r="D48" s="4"/>
      <c r="E48" s="4"/>
      <c r="F48" s="4" t="s">
        <v>123</v>
      </c>
      <c r="G48" s="7">
        <v>41770</v>
      </c>
      <c r="H48" s="6"/>
      <c r="I48" s="7">
        <v>0</v>
      </c>
      <c r="J48" s="6"/>
      <c r="K48" s="7">
        <f>ROUND((G48-I48),5)</f>
        <v>41770</v>
      </c>
      <c r="L48" s="6"/>
      <c r="M48" s="15">
        <f>ROUND(IF(I48=0, IF(G48=0, 0, 1), G48/I48),5)</f>
        <v>1</v>
      </c>
    </row>
    <row r="49" spans="1:13">
      <c r="A49" s="4"/>
      <c r="B49" s="4"/>
      <c r="C49" s="4"/>
      <c r="D49" s="4"/>
      <c r="E49" s="4"/>
      <c r="F49" s="4" t="s">
        <v>124</v>
      </c>
      <c r="G49" s="7">
        <v>15833.69</v>
      </c>
      <c r="H49" s="6"/>
      <c r="I49" s="7">
        <v>6790</v>
      </c>
      <c r="J49" s="6"/>
      <c r="K49" s="7">
        <f>ROUND((G49-I49),5)</f>
        <v>9043.69</v>
      </c>
      <c r="L49" s="6"/>
      <c r="M49" s="15">
        <f>ROUND(IF(I49=0, IF(G49=0, 0, 1), G49/I49),5)</f>
        <v>2.3319100000000001</v>
      </c>
    </row>
    <row r="50" spans="1:13">
      <c r="A50" s="4"/>
      <c r="B50" s="4"/>
      <c r="C50" s="4"/>
      <c r="D50" s="4"/>
      <c r="E50" s="4"/>
      <c r="F50" s="4" t="s">
        <v>125</v>
      </c>
      <c r="G50" s="7">
        <v>56858.43</v>
      </c>
      <c r="H50" s="6"/>
      <c r="I50" s="7">
        <v>75120</v>
      </c>
      <c r="J50" s="6"/>
      <c r="K50" s="7">
        <f>ROUND((G50-I50),5)</f>
        <v>-18261.57</v>
      </c>
      <c r="L50" s="6"/>
      <c r="M50" s="15">
        <f>ROUND(IF(I50=0, IF(G50=0, 0, 1), G50/I50),5)</f>
        <v>0.75690000000000002</v>
      </c>
    </row>
    <row r="51" spans="1:13">
      <c r="A51" s="4"/>
      <c r="B51" s="4"/>
      <c r="C51" s="4"/>
      <c r="D51" s="4"/>
      <c r="E51" s="4"/>
      <c r="F51" s="4" t="s">
        <v>126</v>
      </c>
      <c r="G51" s="7">
        <v>107970.4</v>
      </c>
      <c r="H51" s="6"/>
      <c r="I51" s="7">
        <v>103389</v>
      </c>
      <c r="J51" s="6"/>
      <c r="K51" s="7">
        <f>ROUND((G51-I51),5)</f>
        <v>4581.3999999999996</v>
      </c>
      <c r="L51" s="6"/>
      <c r="M51" s="15">
        <f>ROUND(IF(I51=0, IF(G51=0, 0, 1), G51/I51),5)</f>
        <v>1.0443100000000001</v>
      </c>
    </row>
    <row r="52" spans="1:13">
      <c r="A52" s="4"/>
      <c r="B52" s="4"/>
      <c r="C52" s="4"/>
      <c r="D52" s="4"/>
      <c r="E52" s="4"/>
      <c r="F52" s="4" t="s">
        <v>127</v>
      </c>
      <c r="G52" s="7">
        <v>21444.58</v>
      </c>
      <c r="H52" s="6"/>
      <c r="I52" s="7">
        <v>11839</v>
      </c>
      <c r="J52" s="6"/>
      <c r="K52" s="7">
        <f>ROUND((G52-I52),5)</f>
        <v>9605.58</v>
      </c>
      <c r="L52" s="6"/>
      <c r="M52" s="15">
        <f>ROUND(IF(I52=0, IF(G52=0, 0, 1), G52/I52),5)</f>
        <v>1.81135</v>
      </c>
    </row>
    <row r="53" spans="1:13">
      <c r="A53" s="4"/>
      <c r="B53" s="4"/>
      <c r="C53" s="4"/>
      <c r="D53" s="4"/>
      <c r="E53" s="4"/>
      <c r="F53" s="4" t="s">
        <v>128</v>
      </c>
      <c r="G53" s="7">
        <v>2216.4499999999998</v>
      </c>
      <c r="H53" s="6"/>
      <c r="I53" s="7">
        <v>100146</v>
      </c>
      <c r="J53" s="6"/>
      <c r="K53" s="7">
        <f>ROUND((G53-I53),5)</f>
        <v>-97929.55</v>
      </c>
      <c r="L53" s="6"/>
      <c r="M53" s="15">
        <f>ROUND(IF(I53=0, IF(G53=0, 0, 1), G53/I53),5)</f>
        <v>2.213E-2</v>
      </c>
    </row>
    <row r="54" spans="1:13">
      <c r="A54" s="4"/>
      <c r="B54" s="4"/>
      <c r="C54" s="4"/>
      <c r="D54" s="4"/>
      <c r="E54" s="4"/>
      <c r="F54" s="4" t="s">
        <v>129</v>
      </c>
      <c r="G54" s="7">
        <v>2651.57</v>
      </c>
      <c r="H54" s="6"/>
      <c r="I54" s="7">
        <v>34684</v>
      </c>
      <c r="J54" s="6"/>
      <c r="K54" s="7">
        <f>ROUND((G54-I54),5)</f>
        <v>-32032.43</v>
      </c>
      <c r="L54" s="6"/>
      <c r="M54" s="15">
        <f>ROUND(IF(I54=0, IF(G54=0, 0, 1), G54/I54),5)</f>
        <v>7.6450000000000004E-2</v>
      </c>
    </row>
    <row r="55" spans="1:13">
      <c r="A55" s="4"/>
      <c r="B55" s="4"/>
      <c r="C55" s="4"/>
      <c r="D55" s="4"/>
      <c r="E55" s="4"/>
      <c r="F55" s="4" t="s">
        <v>130</v>
      </c>
      <c r="G55" s="7">
        <v>40050.160000000003</v>
      </c>
      <c r="H55" s="6"/>
      <c r="I55" s="7">
        <v>0</v>
      </c>
      <c r="J55" s="6"/>
      <c r="K55" s="7">
        <f>ROUND((G55-I55),5)</f>
        <v>40050.160000000003</v>
      </c>
      <c r="L55" s="6"/>
      <c r="M55" s="15">
        <f>ROUND(IF(I55=0, IF(G55=0, 0, 1), G55/I55),5)</f>
        <v>1</v>
      </c>
    </row>
    <row r="56" spans="1:13">
      <c r="A56" s="4"/>
      <c r="B56" s="4"/>
      <c r="C56" s="4"/>
      <c r="D56" s="4"/>
      <c r="E56" s="4"/>
      <c r="F56" s="4" t="s">
        <v>131</v>
      </c>
      <c r="G56" s="7">
        <v>7115.68</v>
      </c>
      <c r="H56" s="6"/>
      <c r="I56" s="7">
        <v>175000</v>
      </c>
      <c r="J56" s="6"/>
      <c r="K56" s="7">
        <f>ROUND((G56-I56),5)</f>
        <v>-167884.32</v>
      </c>
      <c r="L56" s="6"/>
      <c r="M56" s="15">
        <f>ROUND(IF(I56=0, IF(G56=0, 0, 1), G56/I56),5)</f>
        <v>4.0660000000000002E-2</v>
      </c>
    </row>
    <row r="57" spans="1:13">
      <c r="A57" s="4"/>
      <c r="B57" s="4"/>
      <c r="C57" s="4"/>
      <c r="D57" s="4"/>
      <c r="E57" s="4"/>
      <c r="F57" s="4" t="s">
        <v>132</v>
      </c>
      <c r="G57" s="7">
        <v>865.95</v>
      </c>
      <c r="H57" s="6"/>
      <c r="I57" s="7">
        <v>0</v>
      </c>
      <c r="J57" s="6"/>
      <c r="K57" s="7">
        <f>ROUND((G57-I57),5)</f>
        <v>865.95</v>
      </c>
      <c r="L57" s="6"/>
      <c r="M57" s="15">
        <f>ROUND(IF(I57=0, IF(G57=0, 0, 1), G57/I57),5)</f>
        <v>1</v>
      </c>
    </row>
    <row r="58" spans="1:13">
      <c r="A58" s="4"/>
      <c r="B58" s="4"/>
      <c r="C58" s="4"/>
      <c r="D58" s="4"/>
      <c r="E58" s="4"/>
      <c r="F58" s="4" t="s">
        <v>133</v>
      </c>
      <c r="G58" s="7">
        <v>57544.44</v>
      </c>
      <c r="H58" s="6"/>
      <c r="I58" s="7">
        <v>0</v>
      </c>
      <c r="J58" s="6"/>
      <c r="K58" s="7">
        <f>ROUND((G58-I58),5)</f>
        <v>57544.44</v>
      </c>
      <c r="L58" s="6"/>
      <c r="M58" s="15">
        <f>ROUND(IF(I58=0, IF(G58=0, 0, 1), G58/I58),5)</f>
        <v>1</v>
      </c>
    </row>
    <row r="59" spans="1:13">
      <c r="A59" s="4"/>
      <c r="B59" s="4"/>
      <c r="C59" s="4"/>
      <c r="D59" s="4"/>
      <c r="E59" s="4"/>
      <c r="F59" s="4" t="s">
        <v>134</v>
      </c>
      <c r="G59" s="7">
        <v>398.53</v>
      </c>
      <c r="H59" s="6"/>
      <c r="I59" s="7">
        <v>0</v>
      </c>
      <c r="J59" s="6"/>
      <c r="K59" s="7">
        <f>ROUND((G59-I59),5)</f>
        <v>398.53</v>
      </c>
      <c r="L59" s="6"/>
      <c r="M59" s="15">
        <f>ROUND(IF(I59=0, IF(G59=0, 0, 1), G59/I59),5)</f>
        <v>1</v>
      </c>
    </row>
    <row r="60" spans="1:13">
      <c r="A60" s="4"/>
      <c r="B60" s="4"/>
      <c r="C60" s="4"/>
      <c r="D60" s="4"/>
      <c r="E60" s="4"/>
      <c r="F60" s="4" t="s">
        <v>135</v>
      </c>
      <c r="G60" s="7">
        <v>113450.02</v>
      </c>
      <c r="H60" s="6"/>
      <c r="I60" s="7">
        <v>75000</v>
      </c>
      <c r="J60" s="6"/>
      <c r="K60" s="7">
        <f>ROUND((G60-I60),5)</f>
        <v>38450.019999999997</v>
      </c>
      <c r="L60" s="6"/>
      <c r="M60" s="15">
        <f>ROUND(IF(I60=0, IF(G60=0, 0, 1), G60/I60),5)</f>
        <v>1.51267</v>
      </c>
    </row>
    <row r="61" spans="1:13">
      <c r="A61" s="4"/>
      <c r="B61" s="4"/>
      <c r="C61" s="4"/>
      <c r="D61" s="4"/>
      <c r="E61" s="4"/>
      <c r="F61" s="4" t="s">
        <v>136</v>
      </c>
      <c r="G61" s="7">
        <v>3800</v>
      </c>
      <c r="H61" s="6"/>
      <c r="I61" s="7">
        <v>0</v>
      </c>
      <c r="J61" s="6"/>
      <c r="K61" s="7">
        <f>ROUND((G61-I61),5)</f>
        <v>3800</v>
      </c>
      <c r="L61" s="6"/>
      <c r="M61" s="15">
        <f>ROUND(IF(I61=0, IF(G61=0, 0, 1), G61/I61),5)</f>
        <v>1</v>
      </c>
    </row>
    <row r="62" spans="1:13">
      <c r="A62" s="4"/>
      <c r="B62" s="4"/>
      <c r="C62" s="4"/>
      <c r="D62" s="4"/>
      <c r="E62" s="4"/>
      <c r="F62" s="4" t="s">
        <v>137</v>
      </c>
      <c r="G62" s="7">
        <v>21739.3</v>
      </c>
      <c r="H62" s="6"/>
      <c r="I62" s="7">
        <v>0</v>
      </c>
      <c r="J62" s="6"/>
      <c r="K62" s="7">
        <f>ROUND((G62-I62),5)</f>
        <v>21739.3</v>
      </c>
      <c r="L62" s="6"/>
      <c r="M62" s="15">
        <f>ROUND(IF(I62=0, IF(G62=0, 0, 1), G62/I62),5)</f>
        <v>1</v>
      </c>
    </row>
    <row r="63" spans="1:13">
      <c r="A63" s="4"/>
      <c r="B63" s="4"/>
      <c r="C63" s="4"/>
      <c r="D63" s="4"/>
      <c r="E63" s="4"/>
      <c r="F63" s="4" t="s">
        <v>138</v>
      </c>
      <c r="G63" s="7">
        <v>9479.5</v>
      </c>
      <c r="H63" s="6"/>
      <c r="I63" s="7">
        <v>0</v>
      </c>
      <c r="J63" s="6"/>
      <c r="K63" s="7">
        <f>ROUND((G63-I63),5)</f>
        <v>9479.5</v>
      </c>
      <c r="L63" s="6"/>
      <c r="M63" s="15">
        <f>ROUND(IF(I63=0, IF(G63=0, 0, 1), G63/I63),5)</f>
        <v>1</v>
      </c>
    </row>
    <row r="64" spans="1:13">
      <c r="A64" s="4"/>
      <c r="B64" s="4"/>
      <c r="C64" s="4"/>
      <c r="D64" s="4"/>
      <c r="E64" s="4"/>
      <c r="F64" s="4" t="s">
        <v>139</v>
      </c>
      <c r="G64" s="7">
        <v>128.49</v>
      </c>
      <c r="H64" s="6"/>
      <c r="I64" s="7">
        <v>0</v>
      </c>
      <c r="J64" s="6"/>
      <c r="K64" s="7">
        <f>ROUND((G64-I64),5)</f>
        <v>128.49</v>
      </c>
      <c r="L64" s="6"/>
      <c r="M64" s="15">
        <f>ROUND(IF(I64=0, IF(G64=0, 0, 1), G64/I64),5)</f>
        <v>1</v>
      </c>
    </row>
    <row r="65" spans="1:13">
      <c r="A65" s="4"/>
      <c r="B65" s="4"/>
      <c r="C65" s="4"/>
      <c r="D65" s="4"/>
      <c r="E65" s="4"/>
      <c r="F65" s="4" t="s">
        <v>140</v>
      </c>
      <c r="G65" s="7">
        <v>38882.32</v>
      </c>
      <c r="H65" s="6"/>
      <c r="I65" s="7">
        <v>65000</v>
      </c>
      <c r="J65" s="6"/>
      <c r="K65" s="7">
        <f>ROUND((G65-I65),5)</f>
        <v>-26117.68</v>
      </c>
      <c r="L65" s="6"/>
      <c r="M65" s="15">
        <f>ROUND(IF(I65=0, IF(G65=0, 0, 1), G65/I65),5)</f>
        <v>0.59819</v>
      </c>
    </row>
    <row r="66" spans="1:13">
      <c r="A66" s="4"/>
      <c r="B66" s="4"/>
      <c r="C66" s="4"/>
      <c r="D66" s="4"/>
      <c r="E66" s="4"/>
      <c r="F66" s="4" t="s">
        <v>141</v>
      </c>
      <c r="G66" s="7">
        <v>777.21</v>
      </c>
      <c r="H66" s="6"/>
      <c r="I66" s="7">
        <v>0</v>
      </c>
      <c r="J66" s="6"/>
      <c r="K66" s="7">
        <f>ROUND((G66-I66),5)</f>
        <v>777.21</v>
      </c>
      <c r="L66" s="6"/>
      <c r="M66" s="15">
        <f>ROUND(IF(I66=0, IF(G66=0, 0, 1), G66/I66),5)</f>
        <v>1</v>
      </c>
    </row>
    <row r="67" spans="1:13">
      <c r="A67" s="4"/>
      <c r="B67" s="4"/>
      <c r="C67" s="4"/>
      <c r="D67" s="4"/>
      <c r="E67" s="4"/>
      <c r="F67" s="4" t="s">
        <v>142</v>
      </c>
      <c r="G67" s="7">
        <v>42248.13</v>
      </c>
      <c r="H67" s="6"/>
      <c r="I67" s="7">
        <v>100000</v>
      </c>
      <c r="J67" s="6"/>
      <c r="K67" s="7">
        <f>ROUND((G67-I67),5)</f>
        <v>-57751.87</v>
      </c>
      <c r="L67" s="6"/>
      <c r="M67" s="15">
        <f>ROUND(IF(I67=0, IF(G67=0, 0, 1), G67/I67),5)</f>
        <v>0.42248000000000002</v>
      </c>
    </row>
    <row r="68" spans="1:13">
      <c r="A68" s="4"/>
      <c r="B68" s="4"/>
      <c r="C68" s="4"/>
      <c r="D68" s="4"/>
      <c r="E68" s="4"/>
      <c r="F68" s="4" t="s">
        <v>143</v>
      </c>
      <c r="G68" s="7">
        <v>5067.5600000000004</v>
      </c>
      <c r="H68" s="6"/>
      <c r="I68" s="7">
        <v>0</v>
      </c>
      <c r="J68" s="6"/>
      <c r="K68" s="7">
        <f>ROUND((G68-I68),5)</f>
        <v>5067.5600000000004</v>
      </c>
      <c r="L68" s="6"/>
      <c r="M68" s="15">
        <f>ROUND(IF(I68=0, IF(G68=0, 0, 1), G68/I68),5)</f>
        <v>1</v>
      </c>
    </row>
    <row r="69" spans="1:13">
      <c r="A69" s="4"/>
      <c r="B69" s="4"/>
      <c r="C69" s="4"/>
      <c r="D69" s="4"/>
      <c r="E69" s="4"/>
      <c r="F69" s="4" t="s">
        <v>144</v>
      </c>
      <c r="G69" s="7">
        <v>15660.93</v>
      </c>
      <c r="H69" s="6"/>
      <c r="I69" s="7">
        <v>0</v>
      </c>
      <c r="J69" s="6"/>
      <c r="K69" s="7">
        <f>ROUND((G69-I69),5)</f>
        <v>15660.93</v>
      </c>
      <c r="L69" s="6"/>
      <c r="M69" s="15">
        <f>ROUND(IF(I69=0, IF(G69=0, 0, 1), G69/I69),5)</f>
        <v>1</v>
      </c>
    </row>
    <row r="70" spans="1:13">
      <c r="A70" s="4"/>
      <c r="B70" s="4"/>
      <c r="C70" s="4"/>
      <c r="D70" s="4"/>
      <c r="E70" s="4"/>
      <c r="F70" s="4" t="s">
        <v>145</v>
      </c>
      <c r="G70" s="7">
        <v>68786.03</v>
      </c>
      <c r="H70" s="6"/>
      <c r="I70" s="7">
        <v>125000</v>
      </c>
      <c r="J70" s="6"/>
      <c r="K70" s="7">
        <f>ROUND((G70-I70),5)</f>
        <v>-56213.97</v>
      </c>
      <c r="L70" s="6"/>
      <c r="M70" s="15">
        <f>ROUND(IF(I70=0, IF(G70=0, 0, 1), G70/I70),5)</f>
        <v>0.55028999999999995</v>
      </c>
    </row>
    <row r="71" spans="1:13">
      <c r="A71" s="4"/>
      <c r="B71" s="4"/>
      <c r="C71" s="4"/>
      <c r="D71" s="4"/>
      <c r="E71" s="4"/>
      <c r="F71" s="4" t="s">
        <v>146</v>
      </c>
      <c r="G71" s="7">
        <v>5236.43</v>
      </c>
      <c r="H71" s="6"/>
      <c r="I71" s="7">
        <v>2776</v>
      </c>
      <c r="J71" s="6"/>
      <c r="K71" s="7">
        <f>ROUND((G71-I71),5)</f>
        <v>2460.4299999999998</v>
      </c>
      <c r="L71" s="6"/>
      <c r="M71" s="15">
        <f>ROUND(IF(I71=0, IF(G71=0, 0, 1), G71/I71),5)</f>
        <v>1.88632</v>
      </c>
    </row>
    <row r="72" spans="1:13" ht="15.75" thickBot="1">
      <c r="A72" s="4"/>
      <c r="B72" s="4"/>
      <c r="C72" s="4"/>
      <c r="D72" s="4"/>
      <c r="E72" s="4"/>
      <c r="F72" s="4" t="s">
        <v>147</v>
      </c>
      <c r="G72" s="9">
        <v>23897.279999999999</v>
      </c>
      <c r="H72" s="6"/>
      <c r="I72" s="9">
        <v>0</v>
      </c>
      <c r="J72" s="6"/>
      <c r="K72" s="9">
        <f>ROUND((G72-I72),5)</f>
        <v>23897.279999999999</v>
      </c>
      <c r="L72" s="6"/>
      <c r="M72" s="17">
        <f>ROUND(IF(I72=0, IF(G72=0, 0, 1), G72/I72),5)</f>
        <v>1</v>
      </c>
    </row>
    <row r="73" spans="1:13">
      <c r="A73" s="4"/>
      <c r="B73" s="4"/>
      <c r="C73" s="4"/>
      <c r="D73" s="4"/>
      <c r="E73" s="4" t="s">
        <v>148</v>
      </c>
      <c r="F73" s="4"/>
      <c r="G73" s="7">
        <f>ROUND(SUM(G41:G72),5)</f>
        <v>1655599.04</v>
      </c>
      <c r="H73" s="6"/>
      <c r="I73" s="7">
        <f>ROUND(SUM(I41:I72),5)</f>
        <v>1984825</v>
      </c>
      <c r="J73" s="6"/>
      <c r="K73" s="7">
        <f>ROUND((G73-I73),5)</f>
        <v>-329225.96000000002</v>
      </c>
      <c r="L73" s="6"/>
      <c r="M73" s="15">
        <f>ROUND(IF(I73=0, IF(G73=0, 0, 1), G73/I73),5)</f>
        <v>0.83413000000000004</v>
      </c>
    </row>
    <row r="74" spans="1:13">
      <c r="A74" s="4"/>
      <c r="B74" s="4"/>
      <c r="C74" s="4"/>
      <c r="D74" s="4"/>
      <c r="E74" s="4" t="s">
        <v>149</v>
      </c>
      <c r="F74" s="4"/>
      <c r="G74" s="7"/>
      <c r="H74" s="6"/>
      <c r="I74" s="7"/>
      <c r="J74" s="6"/>
      <c r="K74" s="7"/>
      <c r="L74" s="6"/>
      <c r="M74" s="15"/>
    </row>
    <row r="75" spans="1:13" ht="15.75" thickBot="1">
      <c r="A75" s="4"/>
      <c r="B75" s="4"/>
      <c r="C75" s="4"/>
      <c r="D75" s="4"/>
      <c r="E75" s="4"/>
      <c r="F75" s="4" t="s">
        <v>150</v>
      </c>
      <c r="G75" s="9">
        <v>5853.5</v>
      </c>
      <c r="H75" s="6"/>
      <c r="I75" s="9">
        <v>0</v>
      </c>
      <c r="J75" s="6"/>
      <c r="K75" s="9">
        <f>ROUND((G75-I75),5)</f>
        <v>5853.5</v>
      </c>
      <c r="L75" s="6"/>
      <c r="M75" s="17">
        <f>ROUND(IF(I75=0, IF(G75=0, 0, 1), G75/I75),5)</f>
        <v>1</v>
      </c>
    </row>
    <row r="76" spans="1:13">
      <c r="A76" s="4"/>
      <c r="B76" s="4"/>
      <c r="C76" s="4"/>
      <c r="D76" s="4"/>
      <c r="E76" s="4" t="s">
        <v>151</v>
      </c>
      <c r="F76" s="4"/>
      <c r="G76" s="7">
        <f>ROUND(SUM(G74:G75),5)</f>
        <v>5853.5</v>
      </c>
      <c r="H76" s="6"/>
      <c r="I76" s="7">
        <f>ROUND(SUM(I74:I75),5)</f>
        <v>0</v>
      </c>
      <c r="J76" s="6"/>
      <c r="K76" s="7">
        <f>ROUND((G76-I76),5)</f>
        <v>5853.5</v>
      </c>
      <c r="L76" s="6"/>
      <c r="M76" s="15">
        <f>ROUND(IF(I76=0, IF(G76=0, 0, 1), G76/I76),5)</f>
        <v>1</v>
      </c>
    </row>
    <row r="77" spans="1:13">
      <c r="A77" s="4"/>
      <c r="B77" s="4"/>
      <c r="C77" s="4"/>
      <c r="D77" s="4"/>
      <c r="E77" s="4" t="s">
        <v>152</v>
      </c>
      <c r="F77" s="4"/>
      <c r="G77" s="7"/>
      <c r="H77" s="6"/>
      <c r="I77" s="7"/>
      <c r="J77" s="6"/>
      <c r="K77" s="7"/>
      <c r="L77" s="6"/>
      <c r="M77" s="15"/>
    </row>
    <row r="78" spans="1:13">
      <c r="A78" s="4"/>
      <c r="B78" s="4"/>
      <c r="C78" s="4"/>
      <c r="D78" s="4"/>
      <c r="E78" s="4"/>
      <c r="F78" s="4" t="s">
        <v>153</v>
      </c>
      <c r="G78" s="7">
        <v>132696.63</v>
      </c>
      <c r="H78" s="6"/>
      <c r="I78" s="7">
        <v>60000</v>
      </c>
      <c r="J78" s="6"/>
      <c r="K78" s="7">
        <f>ROUND((G78-I78),5)</f>
        <v>72696.63</v>
      </c>
      <c r="L78" s="6"/>
      <c r="M78" s="15">
        <f>ROUND(IF(I78=0, IF(G78=0, 0, 1), G78/I78),5)</f>
        <v>2.2116099999999999</v>
      </c>
    </row>
    <row r="79" spans="1:13">
      <c r="A79" s="4"/>
      <c r="B79" s="4"/>
      <c r="C79" s="4"/>
      <c r="D79" s="4"/>
      <c r="E79" s="4"/>
      <c r="F79" s="4" t="s">
        <v>154</v>
      </c>
      <c r="G79" s="7">
        <v>78996.55</v>
      </c>
      <c r="H79" s="6"/>
      <c r="I79" s="7">
        <v>0</v>
      </c>
      <c r="J79" s="6"/>
      <c r="K79" s="7">
        <f>ROUND((G79-I79),5)</f>
        <v>78996.55</v>
      </c>
      <c r="L79" s="6"/>
      <c r="M79" s="15">
        <f>ROUND(IF(I79=0, IF(G79=0, 0, 1), G79/I79),5)</f>
        <v>1</v>
      </c>
    </row>
    <row r="80" spans="1:13">
      <c r="A80" s="4"/>
      <c r="B80" s="4"/>
      <c r="C80" s="4"/>
      <c r="D80" s="4"/>
      <c r="E80" s="4"/>
      <c r="F80" s="4" t="s">
        <v>155</v>
      </c>
      <c r="G80" s="7">
        <v>4343</v>
      </c>
      <c r="H80" s="6"/>
      <c r="I80" s="7">
        <v>0</v>
      </c>
      <c r="J80" s="6"/>
      <c r="K80" s="7">
        <f>ROUND((G80-I80),5)</f>
        <v>4343</v>
      </c>
      <c r="L80" s="6"/>
      <c r="M80" s="15">
        <f>ROUND(IF(I80=0, IF(G80=0, 0, 1), G80/I80),5)</f>
        <v>1</v>
      </c>
    </row>
    <row r="81" spans="1:13">
      <c r="A81" s="4"/>
      <c r="B81" s="4"/>
      <c r="C81" s="4"/>
      <c r="D81" s="4"/>
      <c r="E81" s="4"/>
      <c r="F81" s="4" t="s">
        <v>156</v>
      </c>
      <c r="G81" s="7">
        <v>4279.3999999999996</v>
      </c>
      <c r="H81" s="6"/>
      <c r="I81" s="7">
        <v>0</v>
      </c>
      <c r="J81" s="6"/>
      <c r="K81" s="7">
        <f>ROUND((G81-I81),5)</f>
        <v>4279.3999999999996</v>
      </c>
      <c r="L81" s="6"/>
      <c r="M81" s="15">
        <f>ROUND(IF(I81=0, IF(G81=0, 0, 1), G81/I81),5)</f>
        <v>1</v>
      </c>
    </row>
    <row r="82" spans="1:13">
      <c r="A82" s="4"/>
      <c r="B82" s="4"/>
      <c r="C82" s="4"/>
      <c r="D82" s="4"/>
      <c r="E82" s="4"/>
      <c r="F82" s="4" t="s">
        <v>157</v>
      </c>
      <c r="G82" s="7">
        <v>12146.47</v>
      </c>
      <c r="H82" s="6"/>
      <c r="I82" s="7">
        <v>0</v>
      </c>
      <c r="J82" s="6"/>
      <c r="K82" s="7">
        <f>ROUND((G82-I82),5)</f>
        <v>12146.47</v>
      </c>
      <c r="L82" s="6"/>
      <c r="M82" s="15">
        <f>ROUND(IF(I82=0, IF(G82=0, 0, 1), G82/I82),5)</f>
        <v>1</v>
      </c>
    </row>
    <row r="83" spans="1:13">
      <c r="A83" s="4"/>
      <c r="B83" s="4"/>
      <c r="C83" s="4"/>
      <c r="D83" s="4"/>
      <c r="E83" s="4"/>
      <c r="F83" s="4" t="s">
        <v>158</v>
      </c>
      <c r="G83" s="7">
        <v>949.55</v>
      </c>
      <c r="H83" s="6"/>
      <c r="I83" s="7">
        <v>0</v>
      </c>
      <c r="J83" s="6"/>
      <c r="K83" s="7">
        <f>ROUND((G83-I83),5)</f>
        <v>949.55</v>
      </c>
      <c r="L83" s="6"/>
      <c r="M83" s="15">
        <f>ROUND(IF(I83=0, IF(G83=0, 0, 1), G83/I83),5)</f>
        <v>1</v>
      </c>
    </row>
    <row r="84" spans="1:13">
      <c r="A84" s="4"/>
      <c r="B84" s="4"/>
      <c r="C84" s="4"/>
      <c r="D84" s="4"/>
      <c r="E84" s="4"/>
      <c r="F84" s="4" t="s">
        <v>159</v>
      </c>
      <c r="G84" s="7">
        <v>0.01</v>
      </c>
      <c r="H84" s="6"/>
      <c r="I84" s="7">
        <v>0</v>
      </c>
      <c r="J84" s="6"/>
      <c r="K84" s="7">
        <f>ROUND((G84-I84),5)</f>
        <v>0.01</v>
      </c>
      <c r="L84" s="6"/>
      <c r="M84" s="15">
        <f>ROUND(IF(I84=0, IF(G84=0, 0, 1), G84/I84),5)</f>
        <v>1</v>
      </c>
    </row>
    <row r="85" spans="1:13">
      <c r="A85" s="4"/>
      <c r="B85" s="4"/>
      <c r="C85" s="4"/>
      <c r="D85" s="4"/>
      <c r="E85" s="4"/>
      <c r="F85" s="4" t="s">
        <v>160</v>
      </c>
      <c r="G85" s="7">
        <v>746.91</v>
      </c>
      <c r="H85" s="6"/>
      <c r="I85" s="7">
        <v>0</v>
      </c>
      <c r="J85" s="6"/>
      <c r="K85" s="7">
        <f>ROUND((G85-I85),5)</f>
        <v>746.91</v>
      </c>
      <c r="L85" s="6"/>
      <c r="M85" s="15">
        <f>ROUND(IF(I85=0, IF(G85=0, 0, 1), G85/I85),5)</f>
        <v>1</v>
      </c>
    </row>
    <row r="86" spans="1:13" ht="15.75" thickBot="1">
      <c r="A86" s="4"/>
      <c r="B86" s="4"/>
      <c r="C86" s="4"/>
      <c r="D86" s="4"/>
      <c r="E86" s="4"/>
      <c r="F86" s="4" t="s">
        <v>161</v>
      </c>
      <c r="G86" s="9">
        <v>60676.9</v>
      </c>
      <c r="H86" s="6"/>
      <c r="I86" s="9">
        <v>30000</v>
      </c>
      <c r="J86" s="6"/>
      <c r="K86" s="9">
        <f>ROUND((G86-I86),5)</f>
        <v>30676.9</v>
      </c>
      <c r="L86" s="6"/>
      <c r="M86" s="17">
        <f>ROUND(IF(I86=0, IF(G86=0, 0, 1), G86/I86),5)</f>
        <v>2.0225599999999999</v>
      </c>
    </row>
    <row r="87" spans="1:13">
      <c r="A87" s="4"/>
      <c r="B87" s="4"/>
      <c r="C87" s="4"/>
      <c r="D87" s="4"/>
      <c r="E87" s="4" t="s">
        <v>162</v>
      </c>
      <c r="F87" s="4"/>
      <c r="G87" s="7">
        <f>ROUND(SUM(G77:G86),5)</f>
        <v>294835.42</v>
      </c>
      <c r="H87" s="6"/>
      <c r="I87" s="7">
        <f>ROUND(SUM(I77:I86),5)</f>
        <v>90000</v>
      </c>
      <c r="J87" s="6"/>
      <c r="K87" s="7">
        <f>ROUND((G87-I87),5)</f>
        <v>204835.42</v>
      </c>
      <c r="L87" s="6"/>
      <c r="M87" s="15">
        <f>ROUND(IF(I87=0, IF(G87=0, 0, 1), G87/I87),5)</f>
        <v>3.2759499999999999</v>
      </c>
    </row>
    <row r="88" spans="1:13">
      <c r="A88" s="4"/>
      <c r="B88" s="4"/>
      <c r="C88" s="4"/>
      <c r="D88" s="4"/>
      <c r="E88" s="4" t="s">
        <v>163</v>
      </c>
      <c r="F88" s="4"/>
      <c r="G88" s="7"/>
      <c r="H88" s="6"/>
      <c r="I88" s="7"/>
      <c r="J88" s="6"/>
      <c r="K88" s="7"/>
      <c r="L88" s="6"/>
      <c r="M88" s="15"/>
    </row>
    <row r="89" spans="1:13" ht="15.75" thickBot="1">
      <c r="A89" s="4"/>
      <c r="B89" s="4"/>
      <c r="C89" s="4"/>
      <c r="D89" s="4"/>
      <c r="E89" s="4"/>
      <c r="F89" s="4" t="s">
        <v>164</v>
      </c>
      <c r="G89" s="9">
        <v>71415.990000000005</v>
      </c>
      <c r="H89" s="6"/>
      <c r="I89" s="9">
        <v>250000</v>
      </c>
      <c r="J89" s="6"/>
      <c r="K89" s="9">
        <f>ROUND((G89-I89),5)</f>
        <v>-178584.01</v>
      </c>
      <c r="L89" s="6"/>
      <c r="M89" s="17">
        <f>ROUND(IF(I89=0, IF(G89=0, 0, 1), G89/I89),5)</f>
        <v>0.28566000000000003</v>
      </c>
    </row>
    <row r="90" spans="1:13">
      <c r="A90" s="4"/>
      <c r="B90" s="4"/>
      <c r="C90" s="4"/>
      <c r="D90" s="4"/>
      <c r="E90" s="4" t="s">
        <v>165</v>
      </c>
      <c r="F90" s="4"/>
      <c r="G90" s="7">
        <f>ROUND(SUM(G88:G89),5)</f>
        <v>71415.990000000005</v>
      </c>
      <c r="H90" s="6"/>
      <c r="I90" s="7">
        <f>ROUND(SUM(I88:I89),5)</f>
        <v>250000</v>
      </c>
      <c r="J90" s="6"/>
      <c r="K90" s="7">
        <f>ROUND((G90-I90),5)</f>
        <v>-178584.01</v>
      </c>
      <c r="L90" s="6"/>
      <c r="M90" s="15">
        <f>ROUND(IF(I90=0, IF(G90=0, 0, 1), G90/I90),5)</f>
        <v>0.28566000000000003</v>
      </c>
    </row>
    <row r="91" spans="1:13">
      <c r="A91" s="4"/>
      <c r="B91" s="4"/>
      <c r="C91" s="4"/>
      <c r="D91" s="4"/>
      <c r="E91" s="4" t="s">
        <v>166</v>
      </c>
      <c r="F91" s="4"/>
      <c r="G91" s="7"/>
      <c r="H91" s="6"/>
      <c r="I91" s="7"/>
      <c r="J91" s="6"/>
      <c r="K91" s="7"/>
      <c r="L91" s="6"/>
      <c r="M91" s="15"/>
    </row>
    <row r="92" spans="1:13">
      <c r="A92" s="4"/>
      <c r="B92" s="4"/>
      <c r="C92" s="4"/>
      <c r="D92" s="4"/>
      <c r="E92" s="4"/>
      <c r="F92" s="4" t="s">
        <v>167</v>
      </c>
      <c r="G92" s="7">
        <v>3600</v>
      </c>
      <c r="H92" s="6"/>
      <c r="I92" s="7">
        <v>60000</v>
      </c>
      <c r="J92" s="6"/>
      <c r="K92" s="7">
        <f>ROUND((G92-I92),5)</f>
        <v>-56400</v>
      </c>
      <c r="L92" s="6"/>
      <c r="M92" s="15">
        <f>ROUND(IF(I92=0, IF(G92=0, 0, 1), G92/I92),5)</f>
        <v>0.06</v>
      </c>
    </row>
    <row r="93" spans="1:13">
      <c r="A93" s="4"/>
      <c r="B93" s="4"/>
      <c r="C93" s="4"/>
      <c r="D93" s="4"/>
      <c r="E93" s="4"/>
      <c r="F93" s="4" t="s">
        <v>168</v>
      </c>
      <c r="G93" s="7">
        <v>110235.6</v>
      </c>
      <c r="H93" s="6"/>
      <c r="I93" s="7">
        <v>0</v>
      </c>
      <c r="J93" s="6"/>
      <c r="K93" s="7">
        <f>ROUND((G93-I93),5)</f>
        <v>110235.6</v>
      </c>
      <c r="L93" s="6"/>
      <c r="M93" s="15">
        <f>ROUND(IF(I93=0, IF(G93=0, 0, 1), G93/I93),5)</f>
        <v>1</v>
      </c>
    </row>
    <row r="94" spans="1:13">
      <c r="A94" s="4"/>
      <c r="B94" s="4"/>
      <c r="C94" s="4"/>
      <c r="D94" s="4"/>
      <c r="E94" s="4"/>
      <c r="F94" s="4" t="s">
        <v>169</v>
      </c>
      <c r="G94" s="7">
        <v>877</v>
      </c>
      <c r="H94" s="6"/>
      <c r="I94" s="7">
        <v>0</v>
      </c>
      <c r="J94" s="6"/>
      <c r="K94" s="7">
        <f>ROUND((G94-I94),5)</f>
        <v>877</v>
      </c>
      <c r="L94" s="6"/>
      <c r="M94" s="15">
        <f>ROUND(IF(I94=0, IF(G94=0, 0, 1), G94/I94),5)</f>
        <v>1</v>
      </c>
    </row>
    <row r="95" spans="1:13">
      <c r="A95" s="4"/>
      <c r="B95" s="4"/>
      <c r="C95" s="4"/>
      <c r="D95" s="4"/>
      <c r="E95" s="4"/>
      <c r="F95" s="4" t="s">
        <v>170</v>
      </c>
      <c r="G95" s="7">
        <v>166.19</v>
      </c>
      <c r="H95" s="6"/>
      <c r="I95" s="7">
        <v>0</v>
      </c>
      <c r="J95" s="6"/>
      <c r="K95" s="7">
        <f>ROUND((G95-I95),5)</f>
        <v>166.19</v>
      </c>
      <c r="L95" s="6"/>
      <c r="M95" s="15">
        <f>ROUND(IF(I95=0, IF(G95=0, 0, 1), G95/I95),5)</f>
        <v>1</v>
      </c>
    </row>
    <row r="96" spans="1:13">
      <c r="A96" s="4"/>
      <c r="B96" s="4"/>
      <c r="C96" s="4"/>
      <c r="D96" s="4"/>
      <c r="E96" s="4"/>
      <c r="F96" s="4" t="s">
        <v>171</v>
      </c>
      <c r="G96" s="7">
        <v>8802.2900000000009</v>
      </c>
      <c r="H96" s="6"/>
      <c r="I96" s="7">
        <v>0</v>
      </c>
      <c r="J96" s="6"/>
      <c r="K96" s="7">
        <f>ROUND((G96-I96),5)</f>
        <v>8802.2900000000009</v>
      </c>
      <c r="L96" s="6"/>
      <c r="M96" s="15">
        <f>ROUND(IF(I96=0, IF(G96=0, 0, 1), G96/I96),5)</f>
        <v>1</v>
      </c>
    </row>
    <row r="97" spans="1:13">
      <c r="A97" s="4"/>
      <c r="B97" s="4"/>
      <c r="C97" s="4"/>
      <c r="D97" s="4"/>
      <c r="E97" s="4"/>
      <c r="F97" s="4" t="s">
        <v>363</v>
      </c>
      <c r="G97" s="7">
        <v>0</v>
      </c>
      <c r="H97" s="6"/>
      <c r="I97" s="7">
        <v>4200</v>
      </c>
      <c r="J97" s="6"/>
      <c r="K97" s="7">
        <f>ROUND((G97-I97),5)</f>
        <v>-4200</v>
      </c>
      <c r="L97" s="6"/>
      <c r="M97" s="15">
        <f>ROUND(IF(I97=0, IF(G97=0, 0, 1), G97/I97),5)</f>
        <v>0</v>
      </c>
    </row>
    <row r="98" spans="1:13" ht="15.75" thickBot="1">
      <c r="A98" s="4"/>
      <c r="B98" s="4"/>
      <c r="C98" s="4"/>
      <c r="D98" s="4"/>
      <c r="E98" s="4"/>
      <c r="F98" s="4" t="s">
        <v>172</v>
      </c>
      <c r="G98" s="9">
        <v>10088.200000000001</v>
      </c>
      <c r="H98" s="6"/>
      <c r="I98" s="9">
        <v>13341</v>
      </c>
      <c r="J98" s="6"/>
      <c r="K98" s="9">
        <f>ROUND((G98-I98),5)</f>
        <v>-3252.8</v>
      </c>
      <c r="L98" s="6"/>
      <c r="M98" s="17">
        <f>ROUND(IF(I98=0, IF(G98=0, 0, 1), G98/I98),5)</f>
        <v>0.75617999999999996</v>
      </c>
    </row>
    <row r="99" spans="1:13">
      <c r="A99" s="4"/>
      <c r="B99" s="4"/>
      <c r="C99" s="4"/>
      <c r="D99" s="4"/>
      <c r="E99" s="4" t="s">
        <v>174</v>
      </c>
      <c r="F99" s="4"/>
      <c r="G99" s="7">
        <f>ROUND(SUM(G91:G98),5)</f>
        <v>133769.28</v>
      </c>
      <c r="H99" s="6"/>
      <c r="I99" s="7">
        <f>ROUND(SUM(I91:I98),5)</f>
        <v>77541</v>
      </c>
      <c r="J99" s="6"/>
      <c r="K99" s="7">
        <f>ROUND((G99-I99),5)</f>
        <v>56228.28</v>
      </c>
      <c r="L99" s="6"/>
      <c r="M99" s="15">
        <f>ROUND(IF(I99=0, IF(G99=0, 0, 1), G99/I99),5)</f>
        <v>1.7251399999999999</v>
      </c>
    </row>
    <row r="100" spans="1:13">
      <c r="A100" s="4"/>
      <c r="B100" s="4"/>
      <c r="C100" s="4"/>
      <c r="D100" s="4"/>
      <c r="E100" s="4" t="s">
        <v>175</v>
      </c>
      <c r="F100" s="4"/>
      <c r="G100" s="7"/>
      <c r="H100" s="6"/>
      <c r="I100" s="7"/>
      <c r="J100" s="6"/>
      <c r="K100" s="7"/>
      <c r="L100" s="6"/>
      <c r="M100" s="15"/>
    </row>
    <row r="101" spans="1:13">
      <c r="A101" s="4"/>
      <c r="B101" s="4"/>
      <c r="C101" s="4"/>
      <c r="D101" s="4"/>
      <c r="E101" s="4"/>
      <c r="F101" s="4" t="s">
        <v>176</v>
      </c>
      <c r="G101" s="7">
        <v>13016.38</v>
      </c>
      <c r="H101" s="6"/>
      <c r="I101" s="7">
        <v>0</v>
      </c>
      <c r="J101" s="6"/>
      <c r="K101" s="7">
        <f>ROUND((G101-I101),5)</f>
        <v>13016.38</v>
      </c>
      <c r="L101" s="6"/>
      <c r="M101" s="15">
        <f>ROUND(IF(I101=0, IF(G101=0, 0, 1), G101/I101),5)</f>
        <v>1</v>
      </c>
    </row>
    <row r="102" spans="1:13" ht="15.75" thickBot="1">
      <c r="A102" s="4"/>
      <c r="B102" s="4"/>
      <c r="C102" s="4"/>
      <c r="D102" s="4"/>
      <c r="E102" s="4"/>
      <c r="F102" s="4" t="s">
        <v>177</v>
      </c>
      <c r="G102" s="9">
        <v>10274.6</v>
      </c>
      <c r="H102" s="6"/>
      <c r="I102" s="9">
        <v>0</v>
      </c>
      <c r="J102" s="6"/>
      <c r="K102" s="9">
        <f>ROUND((G102-I102),5)</f>
        <v>10274.6</v>
      </c>
      <c r="L102" s="6"/>
      <c r="M102" s="17">
        <f>ROUND(IF(I102=0, IF(G102=0, 0, 1), G102/I102),5)</f>
        <v>1</v>
      </c>
    </row>
    <row r="103" spans="1:13">
      <c r="A103" s="4"/>
      <c r="B103" s="4"/>
      <c r="C103" s="4"/>
      <c r="D103" s="4"/>
      <c r="E103" s="4" t="s">
        <v>178</v>
      </c>
      <c r="F103" s="4"/>
      <c r="G103" s="7">
        <f>ROUND(SUM(G100:G102),5)</f>
        <v>23290.98</v>
      </c>
      <c r="H103" s="6"/>
      <c r="I103" s="7">
        <f>ROUND(SUM(I100:I102),5)</f>
        <v>0</v>
      </c>
      <c r="J103" s="6"/>
      <c r="K103" s="7">
        <f>ROUND((G103-I103),5)</f>
        <v>23290.98</v>
      </c>
      <c r="L103" s="6"/>
      <c r="M103" s="15">
        <f>ROUND(IF(I103=0, IF(G103=0, 0, 1), G103/I103),5)</f>
        <v>1</v>
      </c>
    </row>
    <row r="104" spans="1:13">
      <c r="A104" s="4"/>
      <c r="B104" s="4"/>
      <c r="C104" s="4"/>
      <c r="D104" s="4"/>
      <c r="E104" s="4" t="s">
        <v>179</v>
      </c>
      <c r="F104" s="4"/>
      <c r="G104" s="7"/>
      <c r="H104" s="6"/>
      <c r="I104" s="7"/>
      <c r="J104" s="6"/>
      <c r="K104" s="7"/>
      <c r="L104" s="6"/>
      <c r="M104" s="15"/>
    </row>
    <row r="105" spans="1:13">
      <c r="A105" s="4"/>
      <c r="B105" s="4"/>
      <c r="C105" s="4"/>
      <c r="D105" s="4"/>
      <c r="E105" s="4"/>
      <c r="F105" s="4" t="s">
        <v>180</v>
      </c>
      <c r="G105" s="7">
        <v>1598</v>
      </c>
      <c r="H105" s="6"/>
      <c r="I105" s="7">
        <v>40000</v>
      </c>
      <c r="J105" s="6"/>
      <c r="K105" s="7">
        <f>ROUND((G105-I105),5)</f>
        <v>-38402</v>
      </c>
      <c r="L105" s="6"/>
      <c r="M105" s="15">
        <f>ROUND(IF(I105=0, IF(G105=0, 0, 1), G105/I105),5)</f>
        <v>3.9949999999999999E-2</v>
      </c>
    </row>
    <row r="106" spans="1:13">
      <c r="A106" s="4"/>
      <c r="B106" s="4"/>
      <c r="C106" s="4"/>
      <c r="D106" s="4"/>
      <c r="E106" s="4"/>
      <c r="F106" s="4" t="s">
        <v>181</v>
      </c>
      <c r="G106" s="7">
        <v>4654.41</v>
      </c>
      <c r="H106" s="6"/>
      <c r="I106" s="7">
        <v>0</v>
      </c>
      <c r="J106" s="6"/>
      <c r="K106" s="7">
        <f>ROUND((G106-I106),5)</f>
        <v>4654.41</v>
      </c>
      <c r="L106" s="6"/>
      <c r="M106" s="15">
        <f>ROUND(IF(I106=0, IF(G106=0, 0, 1), G106/I106),5)</f>
        <v>1</v>
      </c>
    </row>
    <row r="107" spans="1:13">
      <c r="A107" s="4"/>
      <c r="B107" s="4"/>
      <c r="C107" s="4"/>
      <c r="D107" s="4"/>
      <c r="E107" s="4"/>
      <c r="F107" s="4" t="s">
        <v>182</v>
      </c>
      <c r="G107" s="7">
        <v>123.46</v>
      </c>
      <c r="H107" s="6"/>
      <c r="I107" s="7">
        <v>0</v>
      </c>
      <c r="J107" s="6"/>
      <c r="K107" s="7">
        <f>ROUND((G107-I107),5)</f>
        <v>123.46</v>
      </c>
      <c r="L107" s="6"/>
      <c r="M107" s="15">
        <f>ROUND(IF(I107=0, IF(G107=0, 0, 1), G107/I107),5)</f>
        <v>1</v>
      </c>
    </row>
    <row r="108" spans="1:13" ht="15.75" thickBot="1">
      <c r="A108" s="4"/>
      <c r="B108" s="4"/>
      <c r="C108" s="4"/>
      <c r="D108" s="4"/>
      <c r="E108" s="4"/>
      <c r="F108" s="4" t="s">
        <v>183</v>
      </c>
      <c r="G108" s="9">
        <v>2729.52</v>
      </c>
      <c r="H108" s="6"/>
      <c r="I108" s="9">
        <v>0</v>
      </c>
      <c r="J108" s="6"/>
      <c r="K108" s="9">
        <f>ROUND((G108-I108),5)</f>
        <v>2729.52</v>
      </c>
      <c r="L108" s="6"/>
      <c r="M108" s="17">
        <f>ROUND(IF(I108=0, IF(G108=0, 0, 1), G108/I108),5)</f>
        <v>1</v>
      </c>
    </row>
    <row r="109" spans="1:13">
      <c r="A109" s="4"/>
      <c r="B109" s="4"/>
      <c r="C109" s="4"/>
      <c r="D109" s="4"/>
      <c r="E109" s="4" t="s">
        <v>184</v>
      </c>
      <c r="F109" s="4"/>
      <c r="G109" s="7">
        <f>ROUND(SUM(G104:G108),5)</f>
        <v>9105.39</v>
      </c>
      <c r="H109" s="6"/>
      <c r="I109" s="7">
        <f>ROUND(SUM(I104:I108),5)</f>
        <v>40000</v>
      </c>
      <c r="J109" s="6"/>
      <c r="K109" s="7">
        <f>ROUND((G109-I109),5)</f>
        <v>-30894.61</v>
      </c>
      <c r="L109" s="6"/>
      <c r="M109" s="15">
        <f>ROUND(IF(I109=0, IF(G109=0, 0, 1), G109/I109),5)</f>
        <v>0.22763</v>
      </c>
    </row>
    <row r="110" spans="1:13">
      <c r="A110" s="4"/>
      <c r="B110" s="4"/>
      <c r="C110" s="4"/>
      <c r="D110" s="4"/>
      <c r="E110" s="4" t="s">
        <v>185</v>
      </c>
      <c r="F110" s="4"/>
      <c r="G110" s="7"/>
      <c r="H110" s="6"/>
      <c r="I110" s="7"/>
      <c r="J110" s="6"/>
      <c r="K110" s="7"/>
      <c r="L110" s="6"/>
      <c r="M110" s="15"/>
    </row>
    <row r="111" spans="1:13">
      <c r="A111" s="4"/>
      <c r="B111" s="4"/>
      <c r="C111" s="4"/>
      <c r="D111" s="4"/>
      <c r="E111" s="4"/>
      <c r="F111" s="4" t="s">
        <v>186</v>
      </c>
      <c r="G111" s="7">
        <v>13909</v>
      </c>
      <c r="H111" s="6"/>
      <c r="I111" s="7">
        <v>0</v>
      </c>
      <c r="J111" s="6"/>
      <c r="K111" s="7">
        <f>ROUND((G111-I111),5)</f>
        <v>13909</v>
      </c>
      <c r="L111" s="6"/>
      <c r="M111" s="15">
        <f>ROUND(IF(I111=0, IF(G111=0, 0, 1), G111/I111),5)</f>
        <v>1</v>
      </c>
    </row>
    <row r="112" spans="1:13">
      <c r="A112" s="4"/>
      <c r="B112" s="4"/>
      <c r="C112" s="4"/>
      <c r="D112" s="4"/>
      <c r="E112" s="4"/>
      <c r="F112" s="4" t="s">
        <v>187</v>
      </c>
      <c r="G112" s="7">
        <v>25989.43</v>
      </c>
      <c r="H112" s="6"/>
      <c r="I112" s="7">
        <v>0</v>
      </c>
      <c r="J112" s="6"/>
      <c r="K112" s="7">
        <f>ROUND((G112-I112),5)</f>
        <v>25989.43</v>
      </c>
      <c r="L112" s="6"/>
      <c r="M112" s="15">
        <f>ROUND(IF(I112=0, IF(G112=0, 0, 1), G112/I112),5)</f>
        <v>1</v>
      </c>
    </row>
    <row r="113" spans="1:13">
      <c r="A113" s="4"/>
      <c r="B113" s="4"/>
      <c r="C113" s="4"/>
      <c r="D113" s="4"/>
      <c r="E113" s="4"/>
      <c r="F113" s="4" t="s">
        <v>188</v>
      </c>
      <c r="G113" s="7">
        <v>539.88</v>
      </c>
      <c r="H113" s="6"/>
      <c r="I113" s="7">
        <v>10079</v>
      </c>
      <c r="J113" s="6"/>
      <c r="K113" s="7">
        <f>ROUND((G113-I113),5)</f>
        <v>-9539.1200000000008</v>
      </c>
      <c r="L113" s="6"/>
      <c r="M113" s="15">
        <f>ROUND(IF(I113=0, IF(G113=0, 0, 1), G113/I113),5)</f>
        <v>5.3560000000000003E-2</v>
      </c>
    </row>
    <row r="114" spans="1:13">
      <c r="A114" s="4"/>
      <c r="B114" s="4"/>
      <c r="C114" s="4"/>
      <c r="D114" s="4"/>
      <c r="E114" s="4"/>
      <c r="F114" s="4" t="s">
        <v>189</v>
      </c>
      <c r="G114" s="7">
        <v>644.08000000000004</v>
      </c>
      <c r="H114" s="6"/>
      <c r="I114" s="7">
        <v>0</v>
      </c>
      <c r="J114" s="6"/>
      <c r="K114" s="7">
        <f>ROUND((G114-I114),5)</f>
        <v>644.08000000000004</v>
      </c>
      <c r="L114" s="6"/>
      <c r="M114" s="15">
        <f>ROUND(IF(I114=0, IF(G114=0, 0, 1), G114/I114),5)</f>
        <v>1</v>
      </c>
    </row>
    <row r="115" spans="1:13" ht="15.75" thickBot="1">
      <c r="A115" s="4"/>
      <c r="B115" s="4"/>
      <c r="C115" s="4"/>
      <c r="D115" s="4"/>
      <c r="E115" s="4"/>
      <c r="F115" s="4" t="s">
        <v>190</v>
      </c>
      <c r="G115" s="9">
        <v>3171</v>
      </c>
      <c r="H115" s="6"/>
      <c r="I115" s="9">
        <v>0</v>
      </c>
      <c r="J115" s="6"/>
      <c r="K115" s="9">
        <f>ROUND((G115-I115),5)</f>
        <v>3171</v>
      </c>
      <c r="L115" s="6"/>
      <c r="M115" s="17">
        <f>ROUND(IF(I115=0, IF(G115=0, 0, 1), G115/I115),5)</f>
        <v>1</v>
      </c>
    </row>
    <row r="116" spans="1:13">
      <c r="A116" s="4"/>
      <c r="B116" s="4"/>
      <c r="C116" s="4"/>
      <c r="D116" s="4"/>
      <c r="E116" s="4" t="s">
        <v>191</v>
      </c>
      <c r="F116" s="4"/>
      <c r="G116" s="7">
        <f>ROUND(SUM(G110:G115),5)</f>
        <v>44253.39</v>
      </c>
      <c r="H116" s="6"/>
      <c r="I116" s="7">
        <f>ROUND(SUM(I110:I115),5)</f>
        <v>10079</v>
      </c>
      <c r="J116" s="6"/>
      <c r="K116" s="7">
        <f>ROUND((G116-I116),5)</f>
        <v>34174.39</v>
      </c>
      <c r="L116" s="6"/>
      <c r="M116" s="15">
        <f>ROUND(IF(I116=0, IF(G116=0, 0, 1), G116/I116),5)</f>
        <v>4.3906499999999999</v>
      </c>
    </row>
    <row r="117" spans="1:13">
      <c r="A117" s="4"/>
      <c r="B117" s="4"/>
      <c r="C117" s="4"/>
      <c r="D117" s="4"/>
      <c r="E117" s="4" t="s">
        <v>364</v>
      </c>
      <c r="F117" s="4"/>
      <c r="G117" s="7"/>
      <c r="H117" s="6"/>
      <c r="I117" s="7"/>
      <c r="J117" s="6"/>
      <c r="K117" s="7"/>
      <c r="L117" s="6"/>
      <c r="M117" s="15"/>
    </row>
    <row r="118" spans="1:13" ht="15.75" thickBot="1">
      <c r="A118" s="4"/>
      <c r="B118" s="4"/>
      <c r="C118" s="4"/>
      <c r="D118" s="4"/>
      <c r="E118" s="4"/>
      <c r="F118" s="4" t="s">
        <v>365</v>
      </c>
      <c r="G118" s="9">
        <v>0</v>
      </c>
      <c r="H118" s="6"/>
      <c r="I118" s="9">
        <v>1518</v>
      </c>
      <c r="J118" s="6"/>
      <c r="K118" s="9">
        <f>ROUND((G118-I118),5)</f>
        <v>-1518</v>
      </c>
      <c r="L118" s="6"/>
      <c r="M118" s="17">
        <f>ROUND(IF(I118=0, IF(G118=0, 0, 1), G118/I118),5)</f>
        <v>0</v>
      </c>
    </row>
    <row r="119" spans="1:13">
      <c r="A119" s="4"/>
      <c r="B119" s="4"/>
      <c r="C119" s="4"/>
      <c r="D119" s="4"/>
      <c r="E119" s="4" t="s">
        <v>366</v>
      </c>
      <c r="F119" s="4"/>
      <c r="G119" s="7">
        <f>ROUND(SUM(G117:G118),5)</f>
        <v>0</v>
      </c>
      <c r="H119" s="6"/>
      <c r="I119" s="7">
        <f>ROUND(SUM(I117:I118),5)</f>
        <v>1518</v>
      </c>
      <c r="J119" s="6"/>
      <c r="K119" s="7">
        <f>ROUND((G119-I119),5)</f>
        <v>-1518</v>
      </c>
      <c r="L119" s="6"/>
      <c r="M119" s="15">
        <f>ROUND(IF(I119=0, IF(G119=0, 0, 1), G119/I119),5)</f>
        <v>0</v>
      </c>
    </row>
    <row r="120" spans="1:13">
      <c r="A120" s="4"/>
      <c r="B120" s="4"/>
      <c r="C120" s="4"/>
      <c r="D120" s="4"/>
      <c r="E120" s="4" t="s">
        <v>367</v>
      </c>
      <c r="F120" s="4"/>
      <c r="G120" s="7"/>
      <c r="H120" s="6"/>
      <c r="I120" s="7"/>
      <c r="J120" s="6"/>
      <c r="K120" s="7"/>
      <c r="L120" s="6"/>
      <c r="M120" s="15"/>
    </row>
    <row r="121" spans="1:13" ht="15.75" thickBot="1">
      <c r="A121" s="4"/>
      <c r="B121" s="4"/>
      <c r="C121" s="4"/>
      <c r="D121" s="4"/>
      <c r="E121" s="4"/>
      <c r="F121" s="4" t="s">
        <v>368</v>
      </c>
      <c r="G121" s="9">
        <v>0</v>
      </c>
      <c r="H121" s="6"/>
      <c r="I121" s="9">
        <v>3000</v>
      </c>
      <c r="J121" s="6"/>
      <c r="K121" s="9">
        <f>ROUND((G121-I121),5)</f>
        <v>-3000</v>
      </c>
      <c r="L121" s="6"/>
      <c r="M121" s="17">
        <f>ROUND(IF(I121=0, IF(G121=0, 0, 1), G121/I121),5)</f>
        <v>0</v>
      </c>
    </row>
    <row r="122" spans="1:13">
      <c r="A122" s="4"/>
      <c r="B122" s="4"/>
      <c r="C122" s="4"/>
      <c r="D122" s="4"/>
      <c r="E122" s="4" t="s">
        <v>369</v>
      </c>
      <c r="F122" s="4"/>
      <c r="G122" s="7">
        <f>ROUND(SUM(G120:G121),5)</f>
        <v>0</v>
      </c>
      <c r="H122" s="6"/>
      <c r="I122" s="7">
        <f>ROUND(SUM(I120:I121),5)</f>
        <v>3000</v>
      </c>
      <c r="J122" s="6"/>
      <c r="K122" s="7">
        <f>ROUND((G122-I122),5)</f>
        <v>-3000</v>
      </c>
      <c r="L122" s="6"/>
      <c r="M122" s="15">
        <f>ROUND(IF(I122=0, IF(G122=0, 0, 1), G122/I122),5)</f>
        <v>0</v>
      </c>
    </row>
    <row r="123" spans="1:13">
      <c r="A123" s="4"/>
      <c r="B123" s="4"/>
      <c r="C123" s="4"/>
      <c r="D123" s="4"/>
      <c r="E123" s="4" t="s">
        <v>192</v>
      </c>
      <c r="F123" s="4"/>
      <c r="G123" s="7"/>
      <c r="H123" s="6"/>
      <c r="I123" s="7"/>
      <c r="J123" s="6"/>
      <c r="K123" s="7"/>
      <c r="L123" s="6"/>
      <c r="M123" s="15"/>
    </row>
    <row r="124" spans="1:13">
      <c r="A124" s="4"/>
      <c r="B124" s="4"/>
      <c r="C124" s="4"/>
      <c r="D124" s="4"/>
      <c r="E124" s="4"/>
      <c r="F124" s="4" t="s">
        <v>370</v>
      </c>
      <c r="G124" s="7">
        <v>0</v>
      </c>
      <c r="H124" s="6"/>
      <c r="I124" s="7">
        <v>25000</v>
      </c>
      <c r="J124" s="6"/>
      <c r="K124" s="7">
        <f>ROUND((G124-I124),5)</f>
        <v>-25000</v>
      </c>
      <c r="L124" s="6"/>
      <c r="M124" s="15">
        <f>ROUND(IF(I124=0, IF(G124=0, 0, 1), G124/I124),5)</f>
        <v>0</v>
      </c>
    </row>
    <row r="125" spans="1:13">
      <c r="A125" s="4"/>
      <c r="B125" s="4"/>
      <c r="C125" s="4"/>
      <c r="D125" s="4"/>
      <c r="E125" s="4"/>
      <c r="F125" s="4" t="s">
        <v>193</v>
      </c>
      <c r="G125" s="7">
        <v>22935.07</v>
      </c>
      <c r="H125" s="6"/>
      <c r="I125" s="7">
        <v>0</v>
      </c>
      <c r="J125" s="6"/>
      <c r="K125" s="7">
        <f>ROUND((G125-I125),5)</f>
        <v>22935.07</v>
      </c>
      <c r="L125" s="6"/>
      <c r="M125" s="15">
        <f>ROUND(IF(I125=0, IF(G125=0, 0, 1), G125/I125),5)</f>
        <v>1</v>
      </c>
    </row>
    <row r="126" spans="1:13" ht="15.75" thickBot="1">
      <c r="A126" s="4"/>
      <c r="B126" s="4"/>
      <c r="C126" s="4"/>
      <c r="D126" s="4"/>
      <c r="E126" s="4"/>
      <c r="F126" s="4" t="s">
        <v>194</v>
      </c>
      <c r="G126" s="9">
        <v>972.26</v>
      </c>
      <c r="H126" s="6"/>
      <c r="I126" s="9">
        <v>0</v>
      </c>
      <c r="J126" s="6"/>
      <c r="K126" s="9">
        <f>ROUND((G126-I126),5)</f>
        <v>972.26</v>
      </c>
      <c r="L126" s="6"/>
      <c r="M126" s="17">
        <f>ROUND(IF(I126=0, IF(G126=0, 0, 1), G126/I126),5)</f>
        <v>1</v>
      </c>
    </row>
    <row r="127" spans="1:13">
      <c r="A127" s="4"/>
      <c r="B127" s="4"/>
      <c r="C127" s="4"/>
      <c r="D127" s="4"/>
      <c r="E127" s="4" t="s">
        <v>195</v>
      </c>
      <c r="F127" s="4"/>
      <c r="G127" s="7">
        <f>ROUND(SUM(G123:G126),5)</f>
        <v>23907.33</v>
      </c>
      <c r="H127" s="6"/>
      <c r="I127" s="7">
        <f>ROUND(SUM(I123:I126),5)</f>
        <v>25000</v>
      </c>
      <c r="J127" s="6"/>
      <c r="K127" s="7">
        <f>ROUND((G127-I127),5)</f>
        <v>-1092.67</v>
      </c>
      <c r="L127" s="6"/>
      <c r="M127" s="15">
        <f>ROUND(IF(I127=0, IF(G127=0, 0, 1), G127/I127),5)</f>
        <v>0.95628999999999997</v>
      </c>
    </row>
    <row r="128" spans="1:13">
      <c r="A128" s="4"/>
      <c r="B128" s="4"/>
      <c r="C128" s="4"/>
      <c r="D128" s="4"/>
      <c r="E128" s="4" t="s">
        <v>196</v>
      </c>
      <c r="F128" s="4"/>
      <c r="G128" s="7"/>
      <c r="H128" s="6"/>
      <c r="I128" s="7"/>
      <c r="J128" s="6"/>
      <c r="K128" s="7"/>
      <c r="L128" s="6"/>
      <c r="M128" s="15"/>
    </row>
    <row r="129" spans="1:13">
      <c r="A129" s="4"/>
      <c r="B129" s="4"/>
      <c r="C129" s="4"/>
      <c r="D129" s="4"/>
      <c r="E129" s="4"/>
      <c r="F129" s="4" t="s">
        <v>197</v>
      </c>
      <c r="G129" s="7">
        <v>-492</v>
      </c>
      <c r="H129" s="6"/>
      <c r="I129" s="7">
        <v>0</v>
      </c>
      <c r="J129" s="6"/>
      <c r="K129" s="7">
        <f>ROUND((G129-I129),5)</f>
        <v>-492</v>
      </c>
      <c r="L129" s="6"/>
      <c r="M129" s="15">
        <f>ROUND(IF(I129=0, IF(G129=0, 0, 1), G129/I129),5)</f>
        <v>1</v>
      </c>
    </row>
    <row r="130" spans="1:13">
      <c r="A130" s="4"/>
      <c r="B130" s="4"/>
      <c r="C130" s="4"/>
      <c r="D130" s="4"/>
      <c r="E130" s="4"/>
      <c r="F130" s="4" t="s">
        <v>198</v>
      </c>
      <c r="G130" s="7">
        <v>29060.63</v>
      </c>
      <c r="H130" s="6"/>
      <c r="I130" s="7">
        <v>105432</v>
      </c>
      <c r="J130" s="6"/>
      <c r="K130" s="7">
        <f>ROUND((G130-I130),5)</f>
        <v>-76371.37</v>
      </c>
      <c r="L130" s="6"/>
      <c r="M130" s="15">
        <f>ROUND(IF(I130=0, IF(G130=0, 0, 1), G130/I130),5)</f>
        <v>0.27562999999999999</v>
      </c>
    </row>
    <row r="131" spans="1:13">
      <c r="A131" s="4"/>
      <c r="B131" s="4"/>
      <c r="C131" s="4"/>
      <c r="D131" s="4"/>
      <c r="E131" s="4"/>
      <c r="F131" s="4" t="s">
        <v>199</v>
      </c>
      <c r="G131" s="7">
        <v>2214.2199999999998</v>
      </c>
      <c r="H131" s="6"/>
      <c r="I131" s="7">
        <v>7380</v>
      </c>
      <c r="J131" s="6"/>
      <c r="K131" s="7">
        <f>ROUND((G131-I131),5)</f>
        <v>-5165.78</v>
      </c>
      <c r="L131" s="6"/>
      <c r="M131" s="15">
        <f>ROUND(IF(I131=0, IF(G131=0, 0, 1), G131/I131),5)</f>
        <v>0.30003000000000002</v>
      </c>
    </row>
    <row r="132" spans="1:13">
      <c r="A132" s="4"/>
      <c r="B132" s="4"/>
      <c r="C132" s="4"/>
      <c r="D132" s="4"/>
      <c r="E132" s="4"/>
      <c r="F132" s="4" t="s">
        <v>200</v>
      </c>
      <c r="G132" s="7">
        <v>4737.24</v>
      </c>
      <c r="H132" s="6"/>
      <c r="I132" s="7">
        <v>0</v>
      </c>
      <c r="J132" s="6"/>
      <c r="K132" s="7">
        <f>ROUND((G132-I132),5)</f>
        <v>4737.24</v>
      </c>
      <c r="L132" s="6"/>
      <c r="M132" s="15">
        <f>ROUND(IF(I132=0, IF(G132=0, 0, 1), G132/I132),5)</f>
        <v>1</v>
      </c>
    </row>
    <row r="133" spans="1:13">
      <c r="A133" s="4"/>
      <c r="B133" s="4"/>
      <c r="C133" s="4"/>
      <c r="D133" s="4"/>
      <c r="E133" s="4"/>
      <c r="F133" s="4" t="s">
        <v>201</v>
      </c>
      <c r="G133" s="7">
        <v>-524.22</v>
      </c>
      <c r="H133" s="6"/>
      <c r="I133" s="7">
        <v>10005</v>
      </c>
      <c r="J133" s="6"/>
      <c r="K133" s="7">
        <f>ROUND((G133-I133),5)</f>
        <v>-10529.22</v>
      </c>
      <c r="L133" s="6"/>
      <c r="M133" s="15">
        <f>ROUND(IF(I133=0, IF(G133=0, 0, 1), G133/I133),5)</f>
        <v>-5.2400000000000002E-2</v>
      </c>
    </row>
    <row r="134" spans="1:13">
      <c r="A134" s="4"/>
      <c r="B134" s="4"/>
      <c r="C134" s="4"/>
      <c r="D134" s="4"/>
      <c r="E134" s="4"/>
      <c r="F134" s="4" t="s">
        <v>202</v>
      </c>
      <c r="G134" s="7">
        <v>-4672.95</v>
      </c>
      <c r="H134" s="6"/>
      <c r="I134" s="7">
        <v>0</v>
      </c>
      <c r="J134" s="6"/>
      <c r="K134" s="7">
        <f>ROUND((G134-I134),5)</f>
        <v>-4672.95</v>
      </c>
      <c r="L134" s="6"/>
      <c r="M134" s="15">
        <f>ROUND(IF(I134=0, IF(G134=0, 0, 1), G134/I134),5)</f>
        <v>1</v>
      </c>
    </row>
    <row r="135" spans="1:13">
      <c r="A135" s="4"/>
      <c r="B135" s="4"/>
      <c r="C135" s="4"/>
      <c r="D135" s="4"/>
      <c r="E135" s="4"/>
      <c r="F135" s="4" t="s">
        <v>203</v>
      </c>
      <c r="G135" s="7">
        <v>82907.350000000006</v>
      </c>
      <c r="H135" s="6"/>
      <c r="I135" s="7">
        <v>0</v>
      </c>
      <c r="J135" s="6"/>
      <c r="K135" s="7">
        <f>ROUND((G135-I135),5)</f>
        <v>82907.350000000006</v>
      </c>
      <c r="L135" s="6"/>
      <c r="M135" s="15">
        <f>ROUND(IF(I135=0, IF(G135=0, 0, 1), G135/I135),5)</f>
        <v>1</v>
      </c>
    </row>
    <row r="136" spans="1:13">
      <c r="A136" s="4"/>
      <c r="B136" s="4"/>
      <c r="C136" s="4"/>
      <c r="D136" s="4"/>
      <c r="E136" s="4"/>
      <c r="F136" s="4" t="s">
        <v>204</v>
      </c>
      <c r="G136" s="7">
        <v>2993.48</v>
      </c>
      <c r="H136" s="6"/>
      <c r="I136" s="7">
        <v>0</v>
      </c>
      <c r="J136" s="6"/>
      <c r="K136" s="7">
        <f>ROUND((G136-I136),5)</f>
        <v>2993.48</v>
      </c>
      <c r="L136" s="6"/>
      <c r="M136" s="15">
        <f>ROUND(IF(I136=0, IF(G136=0, 0, 1), G136/I136),5)</f>
        <v>1</v>
      </c>
    </row>
    <row r="137" spans="1:13">
      <c r="A137" s="4"/>
      <c r="B137" s="4"/>
      <c r="C137" s="4"/>
      <c r="D137" s="4"/>
      <c r="E137" s="4"/>
      <c r="F137" s="4" t="s">
        <v>205</v>
      </c>
      <c r="G137" s="7">
        <v>14570.85</v>
      </c>
      <c r="H137" s="6"/>
      <c r="I137" s="7">
        <v>0</v>
      </c>
      <c r="J137" s="6"/>
      <c r="K137" s="7">
        <f>ROUND((G137-I137),5)</f>
        <v>14570.85</v>
      </c>
      <c r="L137" s="6"/>
      <c r="M137" s="15">
        <f>ROUND(IF(I137=0, IF(G137=0, 0, 1), G137/I137),5)</f>
        <v>1</v>
      </c>
    </row>
    <row r="138" spans="1:13">
      <c r="A138" s="4"/>
      <c r="B138" s="4"/>
      <c r="C138" s="4"/>
      <c r="D138" s="4"/>
      <c r="E138" s="4"/>
      <c r="F138" s="4" t="s">
        <v>206</v>
      </c>
      <c r="G138" s="7">
        <v>440</v>
      </c>
      <c r="H138" s="6"/>
      <c r="I138" s="7">
        <v>0</v>
      </c>
      <c r="J138" s="6"/>
      <c r="K138" s="7">
        <f>ROUND((G138-I138),5)</f>
        <v>440</v>
      </c>
      <c r="L138" s="6"/>
      <c r="M138" s="15">
        <f>ROUND(IF(I138=0, IF(G138=0, 0, 1), G138/I138),5)</f>
        <v>1</v>
      </c>
    </row>
    <row r="139" spans="1:13">
      <c r="A139" s="4"/>
      <c r="B139" s="4"/>
      <c r="C139" s="4"/>
      <c r="D139" s="4"/>
      <c r="E139" s="4"/>
      <c r="F139" s="4" t="s">
        <v>207</v>
      </c>
      <c r="G139" s="7">
        <v>4574.6400000000003</v>
      </c>
      <c r="H139" s="6"/>
      <c r="I139" s="7">
        <v>25000</v>
      </c>
      <c r="J139" s="6"/>
      <c r="K139" s="7">
        <f>ROUND((G139-I139),5)</f>
        <v>-20425.36</v>
      </c>
      <c r="L139" s="6"/>
      <c r="M139" s="15">
        <f>ROUND(IF(I139=0, IF(G139=0, 0, 1), G139/I139),5)</f>
        <v>0.18299000000000001</v>
      </c>
    </row>
    <row r="140" spans="1:13">
      <c r="A140" s="4"/>
      <c r="B140" s="4"/>
      <c r="C140" s="4"/>
      <c r="D140" s="4"/>
      <c r="E140" s="4"/>
      <c r="F140" s="4" t="s">
        <v>208</v>
      </c>
      <c r="G140" s="7">
        <v>14955.09</v>
      </c>
      <c r="H140" s="6"/>
      <c r="I140" s="7">
        <v>20000</v>
      </c>
      <c r="J140" s="6"/>
      <c r="K140" s="7">
        <f>ROUND((G140-I140),5)</f>
        <v>-5044.91</v>
      </c>
      <c r="L140" s="6"/>
      <c r="M140" s="15">
        <f>ROUND(IF(I140=0, IF(G140=0, 0, 1), G140/I140),5)</f>
        <v>0.74775000000000003</v>
      </c>
    </row>
    <row r="141" spans="1:13">
      <c r="A141" s="4"/>
      <c r="B141" s="4"/>
      <c r="C141" s="4"/>
      <c r="D141" s="4"/>
      <c r="E141" s="4"/>
      <c r="F141" s="4" t="s">
        <v>209</v>
      </c>
      <c r="G141" s="7">
        <v>4627.95</v>
      </c>
      <c r="H141" s="6"/>
      <c r="I141" s="7">
        <v>0</v>
      </c>
      <c r="J141" s="6"/>
      <c r="K141" s="7">
        <f>ROUND((G141-I141),5)</f>
        <v>4627.95</v>
      </c>
      <c r="L141" s="6"/>
      <c r="M141" s="15">
        <f>ROUND(IF(I141=0, IF(G141=0, 0, 1), G141/I141),5)</f>
        <v>1</v>
      </c>
    </row>
    <row r="142" spans="1:13" ht="15.75" thickBot="1">
      <c r="A142" s="4"/>
      <c r="B142" s="4"/>
      <c r="C142" s="4"/>
      <c r="D142" s="4"/>
      <c r="E142" s="4"/>
      <c r="F142" s="4" t="s">
        <v>210</v>
      </c>
      <c r="G142" s="9">
        <v>11132.71</v>
      </c>
      <c r="H142" s="6"/>
      <c r="I142" s="9">
        <v>7201</v>
      </c>
      <c r="J142" s="6"/>
      <c r="K142" s="9">
        <f>ROUND((G142-I142),5)</f>
        <v>3931.71</v>
      </c>
      <c r="L142" s="6"/>
      <c r="M142" s="17">
        <f>ROUND(IF(I142=0, IF(G142=0, 0, 1), G142/I142),5)</f>
        <v>1.546</v>
      </c>
    </row>
    <row r="143" spans="1:13">
      <c r="A143" s="4"/>
      <c r="B143" s="4"/>
      <c r="C143" s="4"/>
      <c r="D143" s="4"/>
      <c r="E143" s="4" t="s">
        <v>211</v>
      </c>
      <c r="F143" s="4"/>
      <c r="G143" s="7">
        <f>ROUND(SUM(G128:G142),5)</f>
        <v>166524.99</v>
      </c>
      <c r="H143" s="6"/>
      <c r="I143" s="7">
        <f>ROUND(SUM(I128:I142),5)</f>
        <v>175018</v>
      </c>
      <c r="J143" s="6"/>
      <c r="K143" s="7">
        <f>ROUND((G143-I143),5)</f>
        <v>-8493.01</v>
      </c>
      <c r="L143" s="6"/>
      <c r="M143" s="15">
        <f>ROUND(IF(I143=0, IF(G143=0, 0, 1), G143/I143),5)</f>
        <v>0.95147000000000004</v>
      </c>
    </row>
    <row r="144" spans="1:13">
      <c r="A144" s="4"/>
      <c r="B144" s="4"/>
      <c r="C144" s="4"/>
      <c r="D144" s="4"/>
      <c r="E144" s="4" t="s">
        <v>212</v>
      </c>
      <c r="F144" s="4"/>
      <c r="G144" s="7"/>
      <c r="H144" s="6"/>
      <c r="I144" s="7"/>
      <c r="J144" s="6"/>
      <c r="K144" s="7"/>
      <c r="L144" s="6"/>
      <c r="M144" s="15"/>
    </row>
    <row r="145" spans="1:13">
      <c r="A145" s="4"/>
      <c r="B145" s="4"/>
      <c r="C145" s="4"/>
      <c r="D145" s="4"/>
      <c r="E145" s="4"/>
      <c r="F145" s="4" t="s">
        <v>213</v>
      </c>
      <c r="G145" s="7">
        <v>154130.79</v>
      </c>
      <c r="H145" s="6"/>
      <c r="I145" s="7">
        <v>120000</v>
      </c>
      <c r="J145" s="6"/>
      <c r="K145" s="7">
        <f>ROUND((G145-I145),5)</f>
        <v>34130.79</v>
      </c>
      <c r="L145" s="6"/>
      <c r="M145" s="15">
        <f>ROUND(IF(I145=0, IF(G145=0, 0, 1), G145/I145),5)</f>
        <v>1.2844199999999999</v>
      </c>
    </row>
    <row r="146" spans="1:13">
      <c r="A146" s="4"/>
      <c r="B146" s="4"/>
      <c r="C146" s="4"/>
      <c r="D146" s="4"/>
      <c r="E146" s="4"/>
      <c r="F146" s="4" t="s">
        <v>371</v>
      </c>
      <c r="G146" s="7">
        <v>0</v>
      </c>
      <c r="H146" s="6"/>
      <c r="I146" s="7">
        <v>80000</v>
      </c>
      <c r="J146" s="6"/>
      <c r="K146" s="7">
        <f>ROUND((G146-I146),5)</f>
        <v>-80000</v>
      </c>
      <c r="L146" s="6"/>
      <c r="M146" s="15">
        <f>ROUND(IF(I146=0, IF(G146=0, 0, 1), G146/I146),5)</f>
        <v>0</v>
      </c>
    </row>
    <row r="147" spans="1:13">
      <c r="A147" s="4"/>
      <c r="B147" s="4"/>
      <c r="C147" s="4"/>
      <c r="D147" s="4"/>
      <c r="E147" s="4"/>
      <c r="F147" s="4" t="s">
        <v>214</v>
      </c>
      <c r="G147" s="7">
        <v>4839</v>
      </c>
      <c r="H147" s="6"/>
      <c r="I147" s="7">
        <v>0</v>
      </c>
      <c r="J147" s="6"/>
      <c r="K147" s="7">
        <f>ROUND((G147-I147),5)</f>
        <v>4839</v>
      </c>
      <c r="L147" s="6"/>
      <c r="M147" s="15">
        <f>ROUND(IF(I147=0, IF(G147=0, 0, 1), G147/I147),5)</f>
        <v>1</v>
      </c>
    </row>
    <row r="148" spans="1:13">
      <c r="A148" s="4"/>
      <c r="B148" s="4"/>
      <c r="C148" s="4"/>
      <c r="D148" s="4"/>
      <c r="E148" s="4"/>
      <c r="F148" s="4" t="s">
        <v>215</v>
      </c>
      <c r="G148" s="7">
        <v>2142.34</v>
      </c>
      <c r="H148" s="6"/>
      <c r="I148" s="7">
        <v>0</v>
      </c>
      <c r="J148" s="6"/>
      <c r="K148" s="7">
        <f>ROUND((G148-I148),5)</f>
        <v>2142.34</v>
      </c>
      <c r="L148" s="6"/>
      <c r="M148" s="15">
        <f>ROUND(IF(I148=0, IF(G148=0, 0, 1), G148/I148),5)</f>
        <v>1</v>
      </c>
    </row>
    <row r="149" spans="1:13">
      <c r="A149" s="4"/>
      <c r="B149" s="4"/>
      <c r="C149" s="4"/>
      <c r="D149" s="4"/>
      <c r="E149" s="4"/>
      <c r="F149" s="4" t="s">
        <v>216</v>
      </c>
      <c r="G149" s="7">
        <v>9703.19</v>
      </c>
      <c r="H149" s="6"/>
      <c r="I149" s="7">
        <v>0</v>
      </c>
      <c r="J149" s="6"/>
      <c r="K149" s="7">
        <f>ROUND((G149-I149),5)</f>
        <v>9703.19</v>
      </c>
      <c r="L149" s="6"/>
      <c r="M149" s="15">
        <f>ROUND(IF(I149=0, IF(G149=0, 0, 1), G149/I149),5)</f>
        <v>1</v>
      </c>
    </row>
    <row r="150" spans="1:13">
      <c r="A150" s="4"/>
      <c r="B150" s="4"/>
      <c r="C150" s="4"/>
      <c r="D150" s="4"/>
      <c r="E150" s="4"/>
      <c r="F150" s="4" t="s">
        <v>372</v>
      </c>
      <c r="G150" s="7">
        <v>0</v>
      </c>
      <c r="H150" s="6"/>
      <c r="I150" s="7">
        <v>14000</v>
      </c>
      <c r="J150" s="6"/>
      <c r="K150" s="7">
        <f>ROUND((G150-I150),5)</f>
        <v>-14000</v>
      </c>
      <c r="L150" s="6"/>
      <c r="M150" s="15">
        <f>ROUND(IF(I150=0, IF(G150=0, 0, 1), G150/I150),5)</f>
        <v>0</v>
      </c>
    </row>
    <row r="151" spans="1:13">
      <c r="A151" s="4"/>
      <c r="B151" s="4"/>
      <c r="C151" s="4"/>
      <c r="D151" s="4"/>
      <c r="E151" s="4"/>
      <c r="F151" s="4" t="s">
        <v>217</v>
      </c>
      <c r="G151" s="7">
        <v>7839.21</v>
      </c>
      <c r="H151" s="6"/>
      <c r="I151" s="7">
        <v>18343</v>
      </c>
      <c r="J151" s="6"/>
      <c r="K151" s="7">
        <f>ROUND((G151-I151),5)</f>
        <v>-10503.79</v>
      </c>
      <c r="L151" s="6"/>
      <c r="M151" s="15">
        <f>ROUND(IF(I151=0, IF(G151=0, 0, 1), G151/I151),5)</f>
        <v>0.42737000000000003</v>
      </c>
    </row>
    <row r="152" spans="1:13" ht="15.75" thickBot="1">
      <c r="A152" s="4"/>
      <c r="B152" s="4"/>
      <c r="C152" s="4"/>
      <c r="D152" s="4"/>
      <c r="E152" s="4"/>
      <c r="F152" s="4" t="s">
        <v>218</v>
      </c>
      <c r="G152" s="9">
        <v>5407.1</v>
      </c>
      <c r="H152" s="6"/>
      <c r="I152" s="9">
        <v>0</v>
      </c>
      <c r="J152" s="6"/>
      <c r="K152" s="9">
        <f>ROUND((G152-I152),5)</f>
        <v>5407.1</v>
      </c>
      <c r="L152" s="6"/>
      <c r="M152" s="17">
        <f>ROUND(IF(I152=0, IF(G152=0, 0, 1), G152/I152),5)</f>
        <v>1</v>
      </c>
    </row>
    <row r="153" spans="1:13">
      <c r="A153" s="4"/>
      <c r="B153" s="4"/>
      <c r="C153" s="4"/>
      <c r="D153" s="4"/>
      <c r="E153" s="4" t="s">
        <v>219</v>
      </c>
      <c r="F153" s="4"/>
      <c r="G153" s="7">
        <f>ROUND(SUM(G144:G152),5)</f>
        <v>184061.63</v>
      </c>
      <c r="H153" s="6"/>
      <c r="I153" s="7">
        <f>ROUND(SUM(I144:I152),5)</f>
        <v>232343</v>
      </c>
      <c r="J153" s="6"/>
      <c r="K153" s="7">
        <f>ROUND((G153-I153),5)</f>
        <v>-48281.37</v>
      </c>
      <c r="L153" s="6"/>
      <c r="M153" s="15">
        <f>ROUND(IF(I153=0, IF(G153=0, 0, 1), G153/I153),5)</f>
        <v>0.79220000000000002</v>
      </c>
    </row>
    <row r="154" spans="1:13">
      <c r="A154" s="4"/>
      <c r="B154" s="4"/>
      <c r="C154" s="4"/>
      <c r="D154" s="4"/>
      <c r="E154" s="4" t="s">
        <v>220</v>
      </c>
      <c r="F154" s="4"/>
      <c r="G154" s="7"/>
      <c r="H154" s="6"/>
      <c r="I154" s="7"/>
      <c r="J154" s="6"/>
      <c r="K154" s="7"/>
      <c r="L154" s="6"/>
      <c r="M154" s="15"/>
    </row>
    <row r="155" spans="1:13" ht="15.75" thickBot="1">
      <c r="A155" s="4"/>
      <c r="B155" s="4"/>
      <c r="C155" s="4"/>
      <c r="D155" s="4"/>
      <c r="E155" s="4"/>
      <c r="F155" s="4" t="s">
        <v>221</v>
      </c>
      <c r="G155" s="9">
        <v>295866.17</v>
      </c>
      <c r="H155" s="6"/>
      <c r="I155" s="9">
        <v>357881</v>
      </c>
      <c r="J155" s="6"/>
      <c r="K155" s="9">
        <f>ROUND((G155-I155),5)</f>
        <v>-62014.83</v>
      </c>
      <c r="L155" s="6"/>
      <c r="M155" s="17">
        <f>ROUND(IF(I155=0, IF(G155=0, 0, 1), G155/I155),5)</f>
        <v>0.82672000000000001</v>
      </c>
    </row>
    <row r="156" spans="1:13">
      <c r="A156" s="4"/>
      <c r="B156" s="4"/>
      <c r="C156" s="4"/>
      <c r="D156" s="4"/>
      <c r="E156" s="4" t="s">
        <v>222</v>
      </c>
      <c r="F156" s="4"/>
      <c r="G156" s="7">
        <f>ROUND(SUM(G154:G155),5)</f>
        <v>295866.17</v>
      </c>
      <c r="H156" s="6"/>
      <c r="I156" s="7">
        <f>ROUND(SUM(I154:I155),5)</f>
        <v>357881</v>
      </c>
      <c r="J156" s="6"/>
      <c r="K156" s="7">
        <f>ROUND((G156-I156),5)</f>
        <v>-62014.83</v>
      </c>
      <c r="L156" s="6"/>
      <c r="M156" s="15">
        <f>ROUND(IF(I156=0, IF(G156=0, 0, 1), G156/I156),5)</f>
        <v>0.82672000000000001</v>
      </c>
    </row>
    <row r="157" spans="1:13">
      <c r="A157" s="4"/>
      <c r="B157" s="4"/>
      <c r="C157" s="4"/>
      <c r="D157" s="4"/>
      <c r="E157" s="4" t="s">
        <v>223</v>
      </c>
      <c r="F157" s="4"/>
      <c r="G157" s="7"/>
      <c r="H157" s="6"/>
      <c r="I157" s="7"/>
      <c r="J157" s="6"/>
      <c r="K157" s="7"/>
      <c r="L157" s="6"/>
      <c r="M157" s="15"/>
    </row>
    <row r="158" spans="1:13" ht="15.75" thickBot="1">
      <c r="A158" s="4"/>
      <c r="B158" s="4"/>
      <c r="C158" s="4"/>
      <c r="D158" s="4"/>
      <c r="E158" s="4"/>
      <c r="F158" s="4" t="s">
        <v>224</v>
      </c>
      <c r="G158" s="9">
        <v>44673.22</v>
      </c>
      <c r="H158" s="6"/>
      <c r="I158" s="9">
        <v>20000</v>
      </c>
      <c r="J158" s="6"/>
      <c r="K158" s="9">
        <f>ROUND((G158-I158),5)</f>
        <v>24673.22</v>
      </c>
      <c r="L158" s="6"/>
      <c r="M158" s="17">
        <f>ROUND(IF(I158=0, IF(G158=0, 0, 1), G158/I158),5)</f>
        <v>2.23366</v>
      </c>
    </row>
    <row r="159" spans="1:13">
      <c r="A159" s="4"/>
      <c r="B159" s="4"/>
      <c r="C159" s="4"/>
      <c r="D159" s="4"/>
      <c r="E159" s="4" t="s">
        <v>225</v>
      </c>
      <c r="F159" s="4"/>
      <c r="G159" s="7">
        <f>ROUND(SUM(G157:G158),5)</f>
        <v>44673.22</v>
      </c>
      <c r="H159" s="6"/>
      <c r="I159" s="7">
        <f>ROUND(SUM(I157:I158),5)</f>
        <v>20000</v>
      </c>
      <c r="J159" s="6"/>
      <c r="K159" s="7">
        <f>ROUND((G159-I159),5)</f>
        <v>24673.22</v>
      </c>
      <c r="L159" s="6"/>
      <c r="M159" s="15">
        <f>ROUND(IF(I159=0, IF(G159=0, 0, 1), G159/I159),5)</f>
        <v>2.23366</v>
      </c>
    </row>
    <row r="160" spans="1:13">
      <c r="A160" s="4"/>
      <c r="B160" s="4"/>
      <c r="C160" s="4"/>
      <c r="D160" s="4"/>
      <c r="E160" s="4" t="s">
        <v>226</v>
      </c>
      <c r="F160" s="4"/>
      <c r="G160" s="7"/>
      <c r="H160" s="6"/>
      <c r="I160" s="7"/>
      <c r="J160" s="6"/>
      <c r="K160" s="7"/>
      <c r="L160" s="6"/>
      <c r="M160" s="15"/>
    </row>
    <row r="161" spans="1:13">
      <c r="A161" s="4"/>
      <c r="B161" s="4"/>
      <c r="C161" s="4"/>
      <c r="D161" s="4"/>
      <c r="E161" s="4"/>
      <c r="F161" s="4" t="s">
        <v>227</v>
      </c>
      <c r="G161" s="7">
        <v>116762.07</v>
      </c>
      <c r="H161" s="6"/>
      <c r="I161" s="7">
        <v>0</v>
      </c>
      <c r="J161" s="6"/>
      <c r="K161" s="7">
        <f>ROUND((G161-I161),5)</f>
        <v>116762.07</v>
      </c>
      <c r="L161" s="6"/>
      <c r="M161" s="15">
        <f>ROUND(IF(I161=0, IF(G161=0, 0, 1), G161/I161),5)</f>
        <v>1</v>
      </c>
    </row>
    <row r="162" spans="1:13" ht="15.75" thickBot="1">
      <c r="A162" s="4"/>
      <c r="B162" s="4"/>
      <c r="C162" s="4"/>
      <c r="D162" s="4"/>
      <c r="E162" s="4"/>
      <c r="F162" s="4" t="s">
        <v>228</v>
      </c>
      <c r="G162" s="9">
        <v>700</v>
      </c>
      <c r="H162" s="6"/>
      <c r="I162" s="9">
        <v>99012</v>
      </c>
      <c r="J162" s="6"/>
      <c r="K162" s="9">
        <f>ROUND((G162-I162),5)</f>
        <v>-98312</v>
      </c>
      <c r="L162" s="6"/>
      <c r="M162" s="17">
        <f>ROUND(IF(I162=0, IF(G162=0, 0, 1), G162/I162),5)</f>
        <v>7.0699999999999999E-3</v>
      </c>
    </row>
    <row r="163" spans="1:13">
      <c r="A163" s="4"/>
      <c r="B163" s="4"/>
      <c r="C163" s="4"/>
      <c r="D163" s="4"/>
      <c r="E163" s="4" t="s">
        <v>229</v>
      </c>
      <c r="F163" s="4"/>
      <c r="G163" s="7">
        <f>ROUND(SUM(G160:G162),5)</f>
        <v>117462.07</v>
      </c>
      <c r="H163" s="6"/>
      <c r="I163" s="7">
        <f>ROUND(SUM(I160:I162),5)</f>
        <v>99012</v>
      </c>
      <c r="J163" s="6"/>
      <c r="K163" s="7">
        <f>ROUND((G163-I163),5)</f>
        <v>18450.07</v>
      </c>
      <c r="L163" s="6"/>
      <c r="M163" s="15">
        <f>ROUND(IF(I163=0, IF(G163=0, 0, 1), G163/I163),5)</f>
        <v>1.18634</v>
      </c>
    </row>
    <row r="164" spans="1:13">
      <c r="A164" s="4"/>
      <c r="B164" s="4"/>
      <c r="C164" s="4"/>
      <c r="D164" s="4"/>
      <c r="E164" s="4" t="s">
        <v>233</v>
      </c>
      <c r="F164" s="4"/>
      <c r="G164" s="7"/>
      <c r="H164" s="6"/>
      <c r="I164" s="7"/>
      <c r="J164" s="6"/>
      <c r="K164" s="7"/>
      <c r="L164" s="6"/>
      <c r="M164" s="15"/>
    </row>
    <row r="165" spans="1:13" ht="15.75" thickBot="1">
      <c r="A165" s="4"/>
      <c r="B165" s="4"/>
      <c r="C165" s="4"/>
      <c r="D165" s="4"/>
      <c r="E165" s="4"/>
      <c r="F165" s="4" t="s">
        <v>234</v>
      </c>
      <c r="G165" s="9">
        <v>761.79</v>
      </c>
      <c r="H165" s="6"/>
      <c r="I165" s="9">
        <v>433</v>
      </c>
      <c r="J165" s="6"/>
      <c r="K165" s="9">
        <f>ROUND((G165-I165),5)</f>
        <v>328.79</v>
      </c>
      <c r="L165" s="6"/>
      <c r="M165" s="17">
        <f>ROUND(IF(I165=0, IF(G165=0, 0, 1), G165/I165),5)</f>
        <v>1.7593300000000001</v>
      </c>
    </row>
    <row r="166" spans="1:13">
      <c r="A166" s="4"/>
      <c r="B166" s="4"/>
      <c r="C166" s="4"/>
      <c r="D166" s="4"/>
      <c r="E166" s="4" t="s">
        <v>235</v>
      </c>
      <c r="F166" s="4"/>
      <c r="G166" s="7">
        <f>ROUND(SUM(G164:G165),5)</f>
        <v>761.79</v>
      </c>
      <c r="H166" s="6"/>
      <c r="I166" s="7">
        <f>ROUND(SUM(I164:I165),5)</f>
        <v>433</v>
      </c>
      <c r="J166" s="6"/>
      <c r="K166" s="7">
        <f>ROUND((G166-I166),5)</f>
        <v>328.79</v>
      </c>
      <c r="L166" s="6"/>
      <c r="M166" s="15">
        <f>ROUND(IF(I166=0, IF(G166=0, 0, 1), G166/I166),5)</f>
        <v>1.7593300000000001</v>
      </c>
    </row>
    <row r="167" spans="1:13">
      <c r="A167" s="4"/>
      <c r="B167" s="4"/>
      <c r="C167" s="4"/>
      <c r="D167" s="4"/>
      <c r="E167" s="4" t="s">
        <v>236</v>
      </c>
      <c r="F167" s="4"/>
      <c r="G167" s="7"/>
      <c r="H167" s="6"/>
      <c r="I167" s="7"/>
      <c r="J167" s="6"/>
      <c r="K167" s="7"/>
      <c r="L167" s="6"/>
      <c r="M167" s="15"/>
    </row>
    <row r="168" spans="1:13">
      <c r="A168" s="4"/>
      <c r="B168" s="4"/>
      <c r="C168" s="4"/>
      <c r="D168" s="4"/>
      <c r="E168" s="4"/>
      <c r="F168" s="4" t="s">
        <v>237</v>
      </c>
      <c r="G168" s="7">
        <v>16025</v>
      </c>
      <c r="H168" s="6"/>
      <c r="I168" s="7">
        <v>0</v>
      </c>
      <c r="J168" s="6"/>
      <c r="K168" s="7">
        <f>ROUND((G168-I168),5)</f>
        <v>16025</v>
      </c>
      <c r="L168" s="6"/>
      <c r="M168" s="15">
        <f>ROUND(IF(I168=0, IF(G168=0, 0, 1), G168/I168),5)</f>
        <v>1</v>
      </c>
    </row>
    <row r="169" spans="1:13">
      <c r="A169" s="4"/>
      <c r="B169" s="4"/>
      <c r="C169" s="4"/>
      <c r="D169" s="4"/>
      <c r="E169" s="4"/>
      <c r="F169" s="4" t="s">
        <v>238</v>
      </c>
      <c r="G169" s="7">
        <v>178.1</v>
      </c>
      <c r="H169" s="6"/>
      <c r="I169" s="7">
        <v>5000</v>
      </c>
      <c r="J169" s="6"/>
      <c r="K169" s="7">
        <f>ROUND((G169-I169),5)</f>
        <v>-4821.8999999999996</v>
      </c>
      <c r="L169" s="6"/>
      <c r="M169" s="15">
        <f>ROUND(IF(I169=0, IF(G169=0, 0, 1), G169/I169),5)</f>
        <v>3.5619999999999999E-2</v>
      </c>
    </row>
    <row r="170" spans="1:13">
      <c r="A170" s="4"/>
      <c r="B170" s="4"/>
      <c r="C170" s="4"/>
      <c r="D170" s="4"/>
      <c r="E170" s="4"/>
      <c r="F170" s="4" t="s">
        <v>239</v>
      </c>
      <c r="G170" s="7">
        <v>792.99</v>
      </c>
      <c r="H170" s="6"/>
      <c r="I170" s="7">
        <v>0</v>
      </c>
      <c r="J170" s="6"/>
      <c r="K170" s="7">
        <f>ROUND((G170-I170),5)</f>
        <v>792.99</v>
      </c>
      <c r="L170" s="6"/>
      <c r="M170" s="15">
        <f>ROUND(IF(I170=0, IF(G170=0, 0, 1), G170/I170),5)</f>
        <v>1</v>
      </c>
    </row>
    <row r="171" spans="1:13" ht="15.75" thickBot="1">
      <c r="A171" s="4"/>
      <c r="B171" s="4"/>
      <c r="C171" s="4"/>
      <c r="D171" s="4"/>
      <c r="E171" s="4"/>
      <c r="F171" s="4" t="s">
        <v>240</v>
      </c>
      <c r="G171" s="9">
        <v>511.54</v>
      </c>
      <c r="H171" s="6"/>
      <c r="I171" s="9">
        <v>0</v>
      </c>
      <c r="J171" s="6"/>
      <c r="K171" s="9">
        <f>ROUND((G171-I171),5)</f>
        <v>511.54</v>
      </c>
      <c r="L171" s="6"/>
      <c r="M171" s="17">
        <f>ROUND(IF(I171=0, IF(G171=0, 0, 1), G171/I171),5)</f>
        <v>1</v>
      </c>
    </row>
    <row r="172" spans="1:13">
      <c r="A172" s="4"/>
      <c r="B172" s="4"/>
      <c r="C172" s="4"/>
      <c r="D172" s="4"/>
      <c r="E172" s="4" t="s">
        <v>241</v>
      </c>
      <c r="F172" s="4"/>
      <c r="G172" s="7">
        <f>ROUND(SUM(G167:G171),5)</f>
        <v>17507.63</v>
      </c>
      <c r="H172" s="6"/>
      <c r="I172" s="7">
        <f>ROUND(SUM(I167:I171),5)</f>
        <v>5000</v>
      </c>
      <c r="J172" s="6"/>
      <c r="K172" s="7">
        <f>ROUND((G172-I172),5)</f>
        <v>12507.63</v>
      </c>
      <c r="L172" s="6"/>
      <c r="M172" s="15">
        <f>ROUND(IF(I172=0, IF(G172=0, 0, 1), G172/I172),5)</f>
        <v>3.5015299999999998</v>
      </c>
    </row>
    <row r="173" spans="1:13">
      <c r="A173" s="4"/>
      <c r="B173" s="4"/>
      <c r="C173" s="4"/>
      <c r="D173" s="4"/>
      <c r="E173" s="4" t="s">
        <v>242</v>
      </c>
      <c r="F173" s="4"/>
      <c r="G173" s="7"/>
      <c r="H173" s="6"/>
      <c r="I173" s="7"/>
      <c r="J173" s="6"/>
      <c r="K173" s="7"/>
      <c r="L173" s="6"/>
      <c r="M173" s="15"/>
    </row>
    <row r="174" spans="1:13">
      <c r="A174" s="4"/>
      <c r="B174" s="4"/>
      <c r="C174" s="4"/>
      <c r="D174" s="4"/>
      <c r="E174" s="4"/>
      <c r="F174" s="4" t="s">
        <v>243</v>
      </c>
      <c r="G174" s="7">
        <v>29146.42</v>
      </c>
      <c r="H174" s="6"/>
      <c r="I174" s="7">
        <v>10816</v>
      </c>
      <c r="J174" s="6"/>
      <c r="K174" s="7">
        <f>ROUND((G174-I174),5)</f>
        <v>18330.419999999998</v>
      </c>
      <c r="L174" s="6"/>
      <c r="M174" s="15">
        <f>ROUND(IF(I174=0, IF(G174=0, 0, 1), G174/I174),5)</f>
        <v>2.69475</v>
      </c>
    </row>
    <row r="175" spans="1:13">
      <c r="A175" s="4"/>
      <c r="B175" s="4"/>
      <c r="C175" s="4"/>
      <c r="D175" s="4"/>
      <c r="E175" s="4"/>
      <c r="F175" s="4" t="s">
        <v>244</v>
      </c>
      <c r="G175" s="7">
        <v>2179.5500000000002</v>
      </c>
      <c r="H175" s="6"/>
      <c r="I175" s="7">
        <v>757</v>
      </c>
      <c r="J175" s="6"/>
      <c r="K175" s="7">
        <f>ROUND((G175-I175),5)</f>
        <v>1422.55</v>
      </c>
      <c r="L175" s="6"/>
      <c r="M175" s="15">
        <f>ROUND(IF(I175=0, IF(G175=0, 0, 1), G175/I175),5)</f>
        <v>2.8791899999999999</v>
      </c>
    </row>
    <row r="176" spans="1:13">
      <c r="A176" s="4"/>
      <c r="B176" s="4"/>
      <c r="C176" s="4"/>
      <c r="D176" s="4"/>
      <c r="E176" s="4"/>
      <c r="F176" s="4" t="s">
        <v>245</v>
      </c>
      <c r="G176" s="7">
        <v>-655.27</v>
      </c>
      <c r="H176" s="6"/>
      <c r="I176" s="7">
        <v>0</v>
      </c>
      <c r="J176" s="6"/>
      <c r="K176" s="7">
        <f>ROUND((G176-I176),5)</f>
        <v>-655.27</v>
      </c>
      <c r="L176" s="6"/>
      <c r="M176" s="15">
        <f>ROUND(IF(I176=0, IF(G176=0, 0, 1), G176/I176),5)</f>
        <v>1</v>
      </c>
    </row>
    <row r="177" spans="1:13">
      <c r="A177" s="4"/>
      <c r="B177" s="4"/>
      <c r="C177" s="4"/>
      <c r="D177" s="4"/>
      <c r="E177" s="4"/>
      <c r="F177" s="4" t="s">
        <v>246</v>
      </c>
      <c r="G177" s="7">
        <v>32088.62</v>
      </c>
      <c r="H177" s="6"/>
      <c r="I177" s="7">
        <v>1622</v>
      </c>
      <c r="J177" s="6"/>
      <c r="K177" s="7">
        <f>ROUND((G177-I177),5)</f>
        <v>30466.62</v>
      </c>
      <c r="L177" s="6"/>
      <c r="M177" s="15">
        <f>ROUND(IF(I177=0, IF(G177=0, 0, 1), G177/I177),5)</f>
        <v>19.783370000000001</v>
      </c>
    </row>
    <row r="178" spans="1:13">
      <c r="A178" s="4"/>
      <c r="B178" s="4"/>
      <c r="C178" s="4"/>
      <c r="D178" s="4"/>
      <c r="E178" s="4"/>
      <c r="F178" s="4" t="s">
        <v>247</v>
      </c>
      <c r="G178" s="7">
        <v>3427.05</v>
      </c>
      <c r="H178" s="6"/>
      <c r="I178" s="7">
        <v>0</v>
      </c>
      <c r="J178" s="6"/>
      <c r="K178" s="7">
        <f>ROUND((G178-I178),5)</f>
        <v>3427.05</v>
      </c>
      <c r="L178" s="6"/>
      <c r="M178" s="15">
        <f>ROUND(IF(I178=0, IF(G178=0, 0, 1), G178/I178),5)</f>
        <v>1</v>
      </c>
    </row>
    <row r="179" spans="1:13">
      <c r="A179" s="4"/>
      <c r="B179" s="4"/>
      <c r="C179" s="4"/>
      <c r="D179" s="4"/>
      <c r="E179" s="4"/>
      <c r="F179" s="4" t="s">
        <v>248</v>
      </c>
      <c r="G179" s="7">
        <v>18431.23</v>
      </c>
      <c r="H179" s="6"/>
      <c r="I179" s="7">
        <v>10624</v>
      </c>
      <c r="J179" s="6"/>
      <c r="K179" s="7">
        <f>ROUND((G179-I179),5)</f>
        <v>7807.23</v>
      </c>
      <c r="L179" s="6"/>
      <c r="M179" s="15">
        <f>ROUND(IF(I179=0, IF(G179=0, 0, 1), G179/I179),5)</f>
        <v>1.7348699999999999</v>
      </c>
    </row>
    <row r="180" spans="1:13">
      <c r="A180" s="4"/>
      <c r="B180" s="4"/>
      <c r="C180" s="4"/>
      <c r="D180" s="4"/>
      <c r="E180" s="4"/>
      <c r="F180" s="4" t="s">
        <v>249</v>
      </c>
      <c r="G180" s="7">
        <v>64260</v>
      </c>
      <c r="H180" s="6"/>
      <c r="I180" s="7">
        <v>100000</v>
      </c>
      <c r="J180" s="6"/>
      <c r="K180" s="7">
        <f>ROUND((G180-I180),5)</f>
        <v>-35740</v>
      </c>
      <c r="L180" s="6"/>
      <c r="M180" s="15">
        <f>ROUND(IF(I180=0, IF(G180=0, 0, 1), G180/I180),5)</f>
        <v>0.64259999999999995</v>
      </c>
    </row>
    <row r="181" spans="1:13">
      <c r="A181" s="4"/>
      <c r="B181" s="4"/>
      <c r="C181" s="4"/>
      <c r="D181" s="4"/>
      <c r="E181" s="4"/>
      <c r="F181" s="4" t="s">
        <v>250</v>
      </c>
      <c r="G181" s="7">
        <v>4150</v>
      </c>
      <c r="H181" s="6"/>
      <c r="I181" s="7">
        <v>75000</v>
      </c>
      <c r="J181" s="6"/>
      <c r="K181" s="7">
        <f>ROUND((G181-I181),5)</f>
        <v>-70850</v>
      </c>
      <c r="L181" s="6"/>
      <c r="M181" s="15">
        <f>ROUND(IF(I181=0, IF(G181=0, 0, 1), G181/I181),5)</f>
        <v>5.5329999999999997E-2</v>
      </c>
    </row>
    <row r="182" spans="1:13">
      <c r="A182" s="4"/>
      <c r="B182" s="4"/>
      <c r="C182" s="4"/>
      <c r="D182" s="4"/>
      <c r="E182" s="4"/>
      <c r="F182" s="4" t="s">
        <v>251</v>
      </c>
      <c r="G182" s="7">
        <v>77074.19</v>
      </c>
      <c r="H182" s="6"/>
      <c r="I182" s="7">
        <v>0</v>
      </c>
      <c r="J182" s="6"/>
      <c r="K182" s="7">
        <f>ROUND((G182-I182),5)</f>
        <v>77074.19</v>
      </c>
      <c r="L182" s="6"/>
      <c r="M182" s="15">
        <f>ROUND(IF(I182=0, IF(G182=0, 0, 1), G182/I182),5)</f>
        <v>1</v>
      </c>
    </row>
    <row r="183" spans="1:13">
      <c r="A183" s="4"/>
      <c r="B183" s="4"/>
      <c r="C183" s="4"/>
      <c r="D183" s="4"/>
      <c r="E183" s="4"/>
      <c r="F183" s="4" t="s">
        <v>252</v>
      </c>
      <c r="G183" s="7">
        <v>210239.4</v>
      </c>
      <c r="H183" s="6"/>
      <c r="I183" s="7">
        <v>220487</v>
      </c>
      <c r="J183" s="6"/>
      <c r="K183" s="7">
        <f>ROUND((G183-I183),5)</f>
        <v>-10247.6</v>
      </c>
      <c r="L183" s="6"/>
      <c r="M183" s="15">
        <f>ROUND(IF(I183=0, IF(G183=0, 0, 1), G183/I183),5)</f>
        <v>0.95352000000000003</v>
      </c>
    </row>
    <row r="184" spans="1:13">
      <c r="A184" s="4"/>
      <c r="B184" s="4"/>
      <c r="C184" s="4"/>
      <c r="D184" s="4"/>
      <c r="E184" s="4"/>
      <c r="F184" s="4" t="s">
        <v>253</v>
      </c>
      <c r="G184" s="7">
        <v>489</v>
      </c>
      <c r="H184" s="6"/>
      <c r="I184" s="7">
        <v>0</v>
      </c>
      <c r="J184" s="6"/>
      <c r="K184" s="7">
        <f>ROUND((G184-I184),5)</f>
        <v>489</v>
      </c>
      <c r="L184" s="6"/>
      <c r="M184" s="15">
        <f>ROUND(IF(I184=0, IF(G184=0, 0, 1), G184/I184),5)</f>
        <v>1</v>
      </c>
    </row>
    <row r="185" spans="1:13">
      <c r="A185" s="4"/>
      <c r="B185" s="4"/>
      <c r="C185" s="4"/>
      <c r="D185" s="4"/>
      <c r="E185" s="4"/>
      <c r="F185" s="4" t="s">
        <v>254</v>
      </c>
      <c r="G185" s="7">
        <v>12518.44</v>
      </c>
      <c r="H185" s="6"/>
      <c r="I185" s="7">
        <v>15000</v>
      </c>
      <c r="J185" s="6"/>
      <c r="K185" s="7">
        <f>ROUND((G185-I185),5)</f>
        <v>-2481.56</v>
      </c>
      <c r="L185" s="6"/>
      <c r="M185" s="15">
        <f>ROUND(IF(I185=0, IF(G185=0, 0, 1), G185/I185),5)</f>
        <v>0.83455999999999997</v>
      </c>
    </row>
    <row r="186" spans="1:13">
      <c r="A186" s="4"/>
      <c r="B186" s="4"/>
      <c r="C186" s="4"/>
      <c r="D186" s="4"/>
      <c r="E186" s="4"/>
      <c r="F186" s="4" t="s">
        <v>255</v>
      </c>
      <c r="G186" s="7">
        <v>55896.79</v>
      </c>
      <c r="H186" s="6"/>
      <c r="I186" s="7">
        <v>53163</v>
      </c>
      <c r="J186" s="6"/>
      <c r="K186" s="7">
        <f>ROUND((G186-I186),5)</f>
        <v>2733.79</v>
      </c>
      <c r="L186" s="6"/>
      <c r="M186" s="15">
        <f>ROUND(IF(I186=0, IF(G186=0, 0, 1), G186/I186),5)</f>
        <v>1.05142</v>
      </c>
    </row>
    <row r="187" spans="1:13" ht="15.75" thickBot="1">
      <c r="A187" s="4"/>
      <c r="B187" s="4"/>
      <c r="C187" s="4"/>
      <c r="D187" s="4"/>
      <c r="E187" s="4"/>
      <c r="F187" s="4" t="s">
        <v>256</v>
      </c>
      <c r="G187" s="9">
        <v>15968.17</v>
      </c>
      <c r="H187" s="6"/>
      <c r="I187" s="9">
        <v>20017</v>
      </c>
      <c r="J187" s="6"/>
      <c r="K187" s="9">
        <f>ROUND((G187-I187),5)</f>
        <v>-4048.83</v>
      </c>
      <c r="L187" s="6"/>
      <c r="M187" s="17">
        <f>ROUND(IF(I187=0, IF(G187=0, 0, 1), G187/I187),5)</f>
        <v>0.79773000000000005</v>
      </c>
    </row>
    <row r="188" spans="1:13">
      <c r="A188" s="4"/>
      <c r="B188" s="4"/>
      <c r="C188" s="4"/>
      <c r="D188" s="4"/>
      <c r="E188" s="4" t="s">
        <v>257</v>
      </c>
      <c r="F188" s="4"/>
      <c r="G188" s="7">
        <f>ROUND(SUM(G173:G187),5)</f>
        <v>525213.59</v>
      </c>
      <c r="H188" s="6"/>
      <c r="I188" s="7">
        <f>ROUND(SUM(I173:I187),5)</f>
        <v>507486</v>
      </c>
      <c r="J188" s="6"/>
      <c r="K188" s="7">
        <f>ROUND((G188-I188),5)</f>
        <v>17727.59</v>
      </c>
      <c r="L188" s="6"/>
      <c r="M188" s="15">
        <f>ROUND(IF(I188=0, IF(G188=0, 0, 1), G188/I188),5)</f>
        <v>1.0349299999999999</v>
      </c>
    </row>
    <row r="189" spans="1:13">
      <c r="A189" s="4"/>
      <c r="B189" s="4"/>
      <c r="C189" s="4"/>
      <c r="D189" s="4"/>
      <c r="E189" s="4" t="s">
        <v>258</v>
      </c>
      <c r="F189" s="4"/>
      <c r="G189" s="7"/>
      <c r="H189" s="6"/>
      <c r="I189" s="7"/>
      <c r="J189" s="6"/>
      <c r="K189" s="7"/>
      <c r="L189" s="6"/>
      <c r="M189" s="15"/>
    </row>
    <row r="190" spans="1:13" ht="15.75" thickBot="1">
      <c r="A190" s="4"/>
      <c r="B190" s="4"/>
      <c r="C190" s="4"/>
      <c r="D190" s="4"/>
      <c r="E190" s="4"/>
      <c r="F190" s="4" t="s">
        <v>259</v>
      </c>
      <c r="G190" s="9">
        <v>9990</v>
      </c>
      <c r="H190" s="6"/>
      <c r="I190" s="9">
        <v>12984</v>
      </c>
      <c r="J190" s="6"/>
      <c r="K190" s="9">
        <f>ROUND((G190-I190),5)</f>
        <v>-2994</v>
      </c>
      <c r="L190" s="6"/>
      <c r="M190" s="17">
        <f>ROUND(IF(I190=0, IF(G190=0, 0, 1), G190/I190),5)</f>
        <v>0.76941000000000004</v>
      </c>
    </row>
    <row r="191" spans="1:13">
      <c r="A191" s="4"/>
      <c r="B191" s="4"/>
      <c r="C191" s="4"/>
      <c r="D191" s="4"/>
      <c r="E191" s="4" t="s">
        <v>260</v>
      </c>
      <c r="F191" s="4"/>
      <c r="G191" s="7">
        <f>ROUND(SUM(G189:G190),5)</f>
        <v>9990</v>
      </c>
      <c r="H191" s="6"/>
      <c r="I191" s="7">
        <f>ROUND(SUM(I189:I190),5)</f>
        <v>12984</v>
      </c>
      <c r="J191" s="6"/>
      <c r="K191" s="7">
        <f>ROUND((G191-I191),5)</f>
        <v>-2994</v>
      </c>
      <c r="L191" s="6"/>
      <c r="M191" s="15">
        <f>ROUND(IF(I191=0, IF(G191=0, 0, 1), G191/I191),5)</f>
        <v>0.76941000000000004</v>
      </c>
    </row>
    <row r="192" spans="1:13">
      <c r="A192" s="4"/>
      <c r="B192" s="4"/>
      <c r="C192" s="4"/>
      <c r="D192" s="4"/>
      <c r="E192" s="4" t="s">
        <v>261</v>
      </c>
      <c r="F192" s="4"/>
      <c r="G192" s="7"/>
      <c r="H192" s="6"/>
      <c r="I192" s="7"/>
      <c r="J192" s="6"/>
      <c r="K192" s="7"/>
      <c r="L192" s="6"/>
      <c r="M192" s="15"/>
    </row>
    <row r="193" spans="1:13">
      <c r="A193" s="4"/>
      <c r="B193" s="4"/>
      <c r="C193" s="4"/>
      <c r="D193" s="4"/>
      <c r="E193" s="4"/>
      <c r="F193" s="4" t="s">
        <v>262</v>
      </c>
      <c r="G193" s="7">
        <v>527.5</v>
      </c>
      <c r="H193" s="6"/>
      <c r="I193" s="7">
        <v>0</v>
      </c>
      <c r="J193" s="6"/>
      <c r="K193" s="7">
        <f>ROUND((G193-I193),5)</f>
        <v>527.5</v>
      </c>
      <c r="L193" s="6"/>
      <c r="M193" s="15">
        <f>ROUND(IF(I193=0, IF(G193=0, 0, 1), G193/I193),5)</f>
        <v>1</v>
      </c>
    </row>
    <row r="194" spans="1:13" ht="15.75" thickBot="1">
      <c r="A194" s="4"/>
      <c r="B194" s="4"/>
      <c r="C194" s="4"/>
      <c r="D194" s="4"/>
      <c r="E194" s="4"/>
      <c r="F194" s="4" t="s">
        <v>263</v>
      </c>
      <c r="G194" s="9">
        <v>147</v>
      </c>
      <c r="H194" s="6"/>
      <c r="I194" s="9">
        <v>0</v>
      </c>
      <c r="J194" s="6"/>
      <c r="K194" s="9">
        <f>ROUND((G194-I194),5)</f>
        <v>147</v>
      </c>
      <c r="L194" s="6"/>
      <c r="M194" s="17">
        <f>ROUND(IF(I194=0, IF(G194=0, 0, 1), G194/I194),5)</f>
        <v>1</v>
      </c>
    </row>
    <row r="195" spans="1:13">
      <c r="A195" s="4"/>
      <c r="B195" s="4"/>
      <c r="C195" s="4"/>
      <c r="D195" s="4"/>
      <c r="E195" s="4" t="s">
        <v>264</v>
      </c>
      <c r="F195" s="4"/>
      <c r="G195" s="7">
        <f>ROUND(SUM(G192:G194),5)</f>
        <v>674.5</v>
      </c>
      <c r="H195" s="6"/>
      <c r="I195" s="7">
        <f>ROUND(SUM(I192:I194),5)</f>
        <v>0</v>
      </c>
      <c r="J195" s="6"/>
      <c r="K195" s="7">
        <f>ROUND((G195-I195),5)</f>
        <v>674.5</v>
      </c>
      <c r="L195" s="6"/>
      <c r="M195" s="15">
        <f>ROUND(IF(I195=0, IF(G195=0, 0, 1), G195/I195),5)</f>
        <v>1</v>
      </c>
    </row>
    <row r="196" spans="1:13">
      <c r="A196" s="4"/>
      <c r="B196" s="4"/>
      <c r="C196" s="4"/>
      <c r="D196" s="4"/>
      <c r="E196" s="4" t="s">
        <v>265</v>
      </c>
      <c r="F196" s="4"/>
      <c r="G196" s="7"/>
      <c r="H196" s="6"/>
      <c r="I196" s="7"/>
      <c r="J196" s="6"/>
      <c r="K196" s="7"/>
      <c r="L196" s="6"/>
      <c r="M196" s="15"/>
    </row>
    <row r="197" spans="1:13" ht="15.75" thickBot="1">
      <c r="A197" s="4"/>
      <c r="B197" s="4"/>
      <c r="C197" s="4"/>
      <c r="D197" s="4"/>
      <c r="E197" s="4"/>
      <c r="F197" s="4" t="s">
        <v>266</v>
      </c>
      <c r="G197" s="9">
        <v>66510.97</v>
      </c>
      <c r="H197" s="6"/>
      <c r="I197" s="9">
        <v>56745</v>
      </c>
      <c r="J197" s="6"/>
      <c r="K197" s="9">
        <f>ROUND((G197-I197),5)</f>
        <v>9765.9699999999993</v>
      </c>
      <c r="L197" s="6"/>
      <c r="M197" s="17">
        <f>ROUND(IF(I197=0, IF(G197=0, 0, 1), G197/I197),5)</f>
        <v>1.1720999999999999</v>
      </c>
    </row>
    <row r="198" spans="1:13">
      <c r="A198" s="4"/>
      <c r="B198" s="4"/>
      <c r="C198" s="4"/>
      <c r="D198" s="4"/>
      <c r="E198" s="4" t="s">
        <v>267</v>
      </c>
      <c r="F198" s="4"/>
      <c r="G198" s="7">
        <f>ROUND(SUM(G196:G197),5)</f>
        <v>66510.97</v>
      </c>
      <c r="H198" s="6"/>
      <c r="I198" s="7">
        <f>ROUND(SUM(I196:I197),5)</f>
        <v>56745</v>
      </c>
      <c r="J198" s="6"/>
      <c r="K198" s="7">
        <f>ROUND((G198-I198),5)</f>
        <v>9765.9699999999993</v>
      </c>
      <c r="L198" s="6"/>
      <c r="M198" s="15">
        <f>ROUND(IF(I198=0, IF(G198=0, 0, 1), G198/I198),5)</f>
        <v>1.1720999999999999</v>
      </c>
    </row>
    <row r="199" spans="1:13">
      <c r="A199" s="4"/>
      <c r="B199" s="4"/>
      <c r="C199" s="4"/>
      <c r="D199" s="4"/>
      <c r="E199" s="4" t="s">
        <v>268</v>
      </c>
      <c r="F199" s="4"/>
      <c r="G199" s="7"/>
      <c r="H199" s="6"/>
      <c r="I199" s="7"/>
      <c r="J199" s="6"/>
      <c r="K199" s="7"/>
      <c r="L199" s="6"/>
      <c r="M199" s="15"/>
    </row>
    <row r="200" spans="1:13">
      <c r="A200" s="4"/>
      <c r="B200" s="4"/>
      <c r="C200" s="4"/>
      <c r="D200" s="4"/>
      <c r="E200" s="4"/>
      <c r="F200" s="4" t="s">
        <v>269</v>
      </c>
      <c r="G200" s="7">
        <v>15905</v>
      </c>
      <c r="H200" s="6"/>
      <c r="I200" s="7">
        <v>202720</v>
      </c>
      <c r="J200" s="6"/>
      <c r="K200" s="7">
        <f>ROUND((G200-I200),5)</f>
        <v>-186815</v>
      </c>
      <c r="L200" s="6"/>
      <c r="M200" s="15">
        <f>ROUND(IF(I200=0, IF(G200=0, 0, 1), G200/I200),5)</f>
        <v>7.8460000000000002E-2</v>
      </c>
    </row>
    <row r="201" spans="1:13">
      <c r="A201" s="4"/>
      <c r="B201" s="4"/>
      <c r="C201" s="4"/>
      <c r="D201" s="4"/>
      <c r="E201" s="4"/>
      <c r="F201" s="4" t="s">
        <v>270</v>
      </c>
      <c r="G201" s="7">
        <v>1216.74</v>
      </c>
      <c r="H201" s="6"/>
      <c r="I201" s="7">
        <v>14190</v>
      </c>
      <c r="J201" s="6"/>
      <c r="K201" s="7">
        <f>ROUND((G201-I201),5)</f>
        <v>-12973.26</v>
      </c>
      <c r="L201" s="6"/>
      <c r="M201" s="15">
        <f>ROUND(IF(I201=0, IF(G201=0, 0, 1), G201/I201),5)</f>
        <v>8.5750000000000007E-2</v>
      </c>
    </row>
    <row r="202" spans="1:13">
      <c r="A202" s="4"/>
      <c r="B202" s="4"/>
      <c r="C202" s="4"/>
      <c r="D202" s="4"/>
      <c r="E202" s="4"/>
      <c r="F202" s="4" t="s">
        <v>271</v>
      </c>
      <c r="G202" s="7">
        <v>54.75</v>
      </c>
      <c r="H202" s="6"/>
      <c r="I202" s="7">
        <v>18343</v>
      </c>
      <c r="J202" s="6"/>
      <c r="K202" s="7">
        <f>ROUND((G202-I202),5)</f>
        <v>-18288.25</v>
      </c>
      <c r="L202" s="6"/>
      <c r="M202" s="15">
        <f>ROUND(IF(I202=0, IF(G202=0, 0, 1), G202/I202),5)</f>
        <v>2.98E-3</v>
      </c>
    </row>
    <row r="203" spans="1:13">
      <c r="A203" s="4"/>
      <c r="B203" s="4"/>
      <c r="C203" s="4"/>
      <c r="D203" s="4"/>
      <c r="E203" s="4"/>
      <c r="F203" s="4" t="s">
        <v>272</v>
      </c>
      <c r="G203" s="7">
        <v>1600</v>
      </c>
      <c r="H203" s="6"/>
      <c r="I203" s="7">
        <v>0</v>
      </c>
      <c r="J203" s="6"/>
      <c r="K203" s="7">
        <f>ROUND((G203-I203),5)</f>
        <v>1600</v>
      </c>
      <c r="L203" s="6"/>
      <c r="M203" s="15">
        <f>ROUND(IF(I203=0, IF(G203=0, 0, 1), G203/I203),5)</f>
        <v>1</v>
      </c>
    </row>
    <row r="204" spans="1:13" ht="15.75" thickBot="1">
      <c r="A204" s="4"/>
      <c r="B204" s="4"/>
      <c r="C204" s="4"/>
      <c r="D204" s="4"/>
      <c r="E204" s="4"/>
      <c r="F204" s="4" t="s">
        <v>273</v>
      </c>
      <c r="G204" s="9">
        <v>18.27</v>
      </c>
      <c r="H204" s="6"/>
      <c r="I204" s="9">
        <v>0</v>
      </c>
      <c r="J204" s="6"/>
      <c r="K204" s="9">
        <f>ROUND((G204-I204),5)</f>
        <v>18.27</v>
      </c>
      <c r="L204" s="6"/>
      <c r="M204" s="17">
        <f>ROUND(IF(I204=0, IF(G204=0, 0, 1), G204/I204),5)</f>
        <v>1</v>
      </c>
    </row>
    <row r="205" spans="1:13">
      <c r="A205" s="4"/>
      <c r="B205" s="4"/>
      <c r="C205" s="4"/>
      <c r="D205" s="4"/>
      <c r="E205" s="4" t="s">
        <v>274</v>
      </c>
      <c r="F205" s="4"/>
      <c r="G205" s="7">
        <f>ROUND(SUM(G199:G204),5)</f>
        <v>18794.759999999998</v>
      </c>
      <c r="H205" s="6"/>
      <c r="I205" s="7">
        <f>ROUND(SUM(I199:I204),5)</f>
        <v>235253</v>
      </c>
      <c r="J205" s="6"/>
      <c r="K205" s="7">
        <f>ROUND((G205-I205),5)</f>
        <v>-216458.23999999999</v>
      </c>
      <c r="L205" s="6"/>
      <c r="M205" s="15">
        <f>ROUND(IF(I205=0, IF(G205=0, 0, 1), G205/I205),5)</f>
        <v>7.9890000000000003E-2</v>
      </c>
    </row>
    <row r="206" spans="1:13">
      <c r="A206" s="4"/>
      <c r="B206" s="4"/>
      <c r="C206" s="4"/>
      <c r="D206" s="4"/>
      <c r="E206" s="4" t="s">
        <v>275</v>
      </c>
      <c r="F206" s="4"/>
      <c r="G206" s="7"/>
      <c r="H206" s="6"/>
      <c r="I206" s="7"/>
      <c r="J206" s="6"/>
      <c r="K206" s="7"/>
      <c r="L206" s="6"/>
      <c r="M206" s="15"/>
    </row>
    <row r="207" spans="1:13" ht="15.75" thickBot="1">
      <c r="A207" s="4"/>
      <c r="B207" s="4"/>
      <c r="C207" s="4"/>
      <c r="D207" s="4"/>
      <c r="E207" s="4"/>
      <c r="F207" s="4" t="s">
        <v>276</v>
      </c>
      <c r="G207" s="9">
        <v>78049.25</v>
      </c>
      <c r="H207" s="6"/>
      <c r="I207" s="9">
        <v>63605</v>
      </c>
      <c r="J207" s="6"/>
      <c r="K207" s="9">
        <f>ROUND((G207-I207),5)</f>
        <v>14444.25</v>
      </c>
      <c r="L207" s="6"/>
      <c r="M207" s="17">
        <f>ROUND(IF(I207=0, IF(G207=0, 0, 1), G207/I207),5)</f>
        <v>1.22709</v>
      </c>
    </row>
    <row r="208" spans="1:13">
      <c r="A208" s="4"/>
      <c r="B208" s="4"/>
      <c r="C208" s="4"/>
      <c r="D208" s="4"/>
      <c r="E208" s="4" t="s">
        <v>277</v>
      </c>
      <c r="F208" s="4"/>
      <c r="G208" s="7">
        <f>ROUND(SUM(G206:G207),5)</f>
        <v>78049.25</v>
      </c>
      <c r="H208" s="6"/>
      <c r="I208" s="7">
        <f>ROUND(SUM(I206:I207),5)</f>
        <v>63605</v>
      </c>
      <c r="J208" s="6"/>
      <c r="K208" s="7">
        <f>ROUND((G208-I208),5)</f>
        <v>14444.25</v>
      </c>
      <c r="L208" s="6"/>
      <c r="M208" s="15">
        <f>ROUND(IF(I208=0, IF(G208=0, 0, 1), G208/I208),5)</f>
        <v>1.22709</v>
      </c>
    </row>
    <row r="209" spans="1:13">
      <c r="A209" s="4"/>
      <c r="B209" s="4"/>
      <c r="C209" s="4"/>
      <c r="D209" s="4"/>
      <c r="E209" s="4" t="s">
        <v>278</v>
      </c>
      <c r="F209" s="4"/>
      <c r="G209" s="7"/>
      <c r="H209" s="6"/>
      <c r="I209" s="7"/>
      <c r="J209" s="6"/>
      <c r="K209" s="7"/>
      <c r="L209" s="6"/>
      <c r="M209" s="15"/>
    </row>
    <row r="210" spans="1:13">
      <c r="A210" s="4"/>
      <c r="B210" s="4"/>
      <c r="C210" s="4"/>
      <c r="D210" s="4"/>
      <c r="E210" s="4"/>
      <c r="F210" s="4" t="s">
        <v>279</v>
      </c>
      <c r="G210" s="7">
        <v>105583.78</v>
      </c>
      <c r="H210" s="6"/>
      <c r="I210" s="7">
        <v>0</v>
      </c>
      <c r="J210" s="6"/>
      <c r="K210" s="7">
        <f>ROUND((G210-I210),5)</f>
        <v>105583.78</v>
      </c>
      <c r="L210" s="6"/>
      <c r="M210" s="15">
        <f>ROUND(IF(I210=0, IF(G210=0, 0, 1), G210/I210),5)</f>
        <v>1</v>
      </c>
    </row>
    <row r="211" spans="1:13">
      <c r="A211" s="4"/>
      <c r="B211" s="4"/>
      <c r="C211" s="4"/>
      <c r="D211" s="4"/>
      <c r="E211" s="4"/>
      <c r="F211" s="4" t="s">
        <v>280</v>
      </c>
      <c r="G211" s="7">
        <v>9050</v>
      </c>
      <c r="H211" s="6"/>
      <c r="I211" s="7">
        <v>0</v>
      </c>
      <c r="J211" s="6"/>
      <c r="K211" s="7">
        <f>ROUND((G211-I211),5)</f>
        <v>9050</v>
      </c>
      <c r="L211" s="6"/>
      <c r="M211" s="15">
        <f>ROUND(IF(I211=0, IF(G211=0, 0, 1), G211/I211),5)</f>
        <v>1</v>
      </c>
    </row>
    <row r="212" spans="1:13">
      <c r="A212" s="4"/>
      <c r="B212" s="4"/>
      <c r="C212" s="4"/>
      <c r="D212" s="4"/>
      <c r="E212" s="4"/>
      <c r="F212" s="4" t="s">
        <v>281</v>
      </c>
      <c r="G212" s="7">
        <v>8750.5400000000009</v>
      </c>
      <c r="H212" s="6"/>
      <c r="I212" s="7">
        <v>0</v>
      </c>
      <c r="J212" s="6"/>
      <c r="K212" s="7">
        <f>ROUND((G212-I212),5)</f>
        <v>8750.5400000000009</v>
      </c>
      <c r="L212" s="6"/>
      <c r="M212" s="15">
        <f>ROUND(IF(I212=0, IF(G212=0, 0, 1), G212/I212),5)</f>
        <v>1</v>
      </c>
    </row>
    <row r="213" spans="1:13">
      <c r="A213" s="4"/>
      <c r="B213" s="4"/>
      <c r="C213" s="4"/>
      <c r="D213" s="4"/>
      <c r="E213" s="4"/>
      <c r="F213" s="4" t="s">
        <v>282</v>
      </c>
      <c r="G213" s="7">
        <v>4950.38</v>
      </c>
      <c r="H213" s="6"/>
      <c r="I213" s="7">
        <v>0</v>
      </c>
      <c r="J213" s="6"/>
      <c r="K213" s="7">
        <f>ROUND((G213-I213),5)</f>
        <v>4950.38</v>
      </c>
      <c r="L213" s="6"/>
      <c r="M213" s="15">
        <f>ROUND(IF(I213=0, IF(G213=0, 0, 1), G213/I213),5)</f>
        <v>1</v>
      </c>
    </row>
    <row r="214" spans="1:13">
      <c r="A214" s="4"/>
      <c r="B214" s="4"/>
      <c r="C214" s="4"/>
      <c r="D214" s="4"/>
      <c r="E214" s="4"/>
      <c r="F214" s="4" t="s">
        <v>283</v>
      </c>
      <c r="G214" s="7">
        <v>-1697.85</v>
      </c>
      <c r="H214" s="6"/>
      <c r="I214" s="7">
        <v>0</v>
      </c>
      <c r="J214" s="6"/>
      <c r="K214" s="7">
        <f>ROUND((G214-I214),5)</f>
        <v>-1697.85</v>
      </c>
      <c r="L214" s="6"/>
      <c r="M214" s="15">
        <f>ROUND(IF(I214=0, IF(G214=0, 0, 1), G214/I214),5)</f>
        <v>1</v>
      </c>
    </row>
    <row r="215" spans="1:13">
      <c r="A215" s="4"/>
      <c r="B215" s="4"/>
      <c r="C215" s="4"/>
      <c r="D215" s="4"/>
      <c r="E215" s="4"/>
      <c r="F215" s="4" t="s">
        <v>284</v>
      </c>
      <c r="G215" s="7">
        <v>120244.04</v>
      </c>
      <c r="H215" s="6"/>
      <c r="I215" s="7">
        <v>200000</v>
      </c>
      <c r="J215" s="6"/>
      <c r="K215" s="7">
        <f>ROUND((G215-I215),5)</f>
        <v>-79755.960000000006</v>
      </c>
      <c r="L215" s="6"/>
      <c r="M215" s="15">
        <f>ROUND(IF(I215=0, IF(G215=0, 0, 1), G215/I215),5)</f>
        <v>0.60121999999999998</v>
      </c>
    </row>
    <row r="216" spans="1:13">
      <c r="A216" s="4"/>
      <c r="B216" s="4"/>
      <c r="C216" s="4"/>
      <c r="D216" s="4"/>
      <c r="E216" s="4"/>
      <c r="F216" s="4" t="s">
        <v>285</v>
      </c>
      <c r="G216" s="7">
        <v>34094.15</v>
      </c>
      <c r="H216" s="6"/>
      <c r="I216" s="7">
        <v>62997</v>
      </c>
      <c r="J216" s="6"/>
      <c r="K216" s="7">
        <f>ROUND((G216-I216),5)</f>
        <v>-28902.85</v>
      </c>
      <c r="L216" s="6"/>
      <c r="M216" s="15">
        <f>ROUND(IF(I216=0, IF(G216=0, 0, 1), G216/I216),5)</f>
        <v>0.54120000000000001</v>
      </c>
    </row>
    <row r="217" spans="1:13">
      <c r="A217" s="4"/>
      <c r="B217" s="4"/>
      <c r="C217" s="4"/>
      <c r="D217" s="4"/>
      <c r="E217" s="4"/>
      <c r="F217" s="4" t="s">
        <v>286</v>
      </c>
      <c r="G217" s="7">
        <v>175</v>
      </c>
      <c r="H217" s="6"/>
      <c r="I217" s="7">
        <v>0</v>
      </c>
      <c r="J217" s="6"/>
      <c r="K217" s="7">
        <f>ROUND((G217-I217),5)</f>
        <v>175</v>
      </c>
      <c r="L217" s="6"/>
      <c r="M217" s="15">
        <f>ROUND(IF(I217=0, IF(G217=0, 0, 1), G217/I217),5)</f>
        <v>1</v>
      </c>
    </row>
    <row r="218" spans="1:13" ht="15.75" thickBot="1">
      <c r="A218" s="4"/>
      <c r="B218" s="4"/>
      <c r="C218" s="4"/>
      <c r="D218" s="4"/>
      <c r="E218" s="4"/>
      <c r="F218" s="4" t="s">
        <v>287</v>
      </c>
      <c r="G218" s="9">
        <v>139.38999999999999</v>
      </c>
      <c r="H218" s="6"/>
      <c r="I218" s="9">
        <v>0</v>
      </c>
      <c r="J218" s="6"/>
      <c r="K218" s="9">
        <f>ROUND((G218-I218),5)</f>
        <v>139.38999999999999</v>
      </c>
      <c r="L218" s="6"/>
      <c r="M218" s="17">
        <f>ROUND(IF(I218=0, IF(G218=0, 0, 1), G218/I218),5)</f>
        <v>1</v>
      </c>
    </row>
    <row r="219" spans="1:13">
      <c r="A219" s="4"/>
      <c r="B219" s="4"/>
      <c r="C219" s="4"/>
      <c r="D219" s="4"/>
      <c r="E219" s="4" t="s">
        <v>288</v>
      </c>
      <c r="F219" s="4"/>
      <c r="G219" s="7">
        <f>ROUND(SUM(G209:G218),5)</f>
        <v>281289.43</v>
      </c>
      <c r="H219" s="6"/>
      <c r="I219" s="7">
        <f>ROUND(SUM(I209:I218),5)</f>
        <v>262997</v>
      </c>
      <c r="J219" s="6"/>
      <c r="K219" s="7">
        <f>ROUND((G219-I219),5)</f>
        <v>18292.43</v>
      </c>
      <c r="L219" s="6"/>
      <c r="M219" s="15">
        <f>ROUND(IF(I219=0, IF(G219=0, 0, 1), G219/I219),5)</f>
        <v>1.06955</v>
      </c>
    </row>
    <row r="220" spans="1:13">
      <c r="A220" s="4"/>
      <c r="B220" s="4"/>
      <c r="C220" s="4"/>
      <c r="D220" s="4"/>
      <c r="E220" s="4" t="s">
        <v>289</v>
      </c>
      <c r="F220" s="4"/>
      <c r="G220" s="7"/>
      <c r="H220" s="6"/>
      <c r="I220" s="7"/>
      <c r="J220" s="6"/>
      <c r="K220" s="7"/>
      <c r="L220" s="6"/>
      <c r="M220" s="15"/>
    </row>
    <row r="221" spans="1:13">
      <c r="A221" s="4"/>
      <c r="B221" s="4"/>
      <c r="C221" s="4"/>
      <c r="D221" s="4"/>
      <c r="E221" s="4"/>
      <c r="F221" s="4" t="s">
        <v>290</v>
      </c>
      <c r="G221" s="7">
        <v>28336.2</v>
      </c>
      <c r="H221" s="6"/>
      <c r="I221" s="7">
        <v>32909</v>
      </c>
      <c r="J221" s="6"/>
      <c r="K221" s="7">
        <f>ROUND((G221-I221),5)</f>
        <v>-4572.8</v>
      </c>
      <c r="L221" s="6"/>
      <c r="M221" s="15">
        <f>ROUND(IF(I221=0, IF(G221=0, 0, 1), G221/I221),5)</f>
        <v>0.86104999999999998</v>
      </c>
    </row>
    <row r="222" spans="1:13">
      <c r="A222" s="4"/>
      <c r="B222" s="4"/>
      <c r="C222" s="4"/>
      <c r="D222" s="4"/>
      <c r="E222" s="4"/>
      <c r="F222" s="4" t="s">
        <v>291</v>
      </c>
      <c r="G222" s="7">
        <v>2000</v>
      </c>
      <c r="H222" s="6"/>
      <c r="I222" s="7">
        <v>0</v>
      </c>
      <c r="J222" s="6"/>
      <c r="K222" s="7">
        <f>ROUND((G222-I222),5)</f>
        <v>2000</v>
      </c>
      <c r="L222" s="6"/>
      <c r="M222" s="15">
        <f>ROUND(IF(I222=0, IF(G222=0, 0, 1), G222/I222),5)</f>
        <v>1</v>
      </c>
    </row>
    <row r="223" spans="1:13">
      <c r="A223" s="4"/>
      <c r="B223" s="4"/>
      <c r="C223" s="4"/>
      <c r="D223" s="4"/>
      <c r="E223" s="4"/>
      <c r="F223" s="4" t="s">
        <v>292</v>
      </c>
      <c r="G223" s="7">
        <v>1100</v>
      </c>
      <c r="H223" s="6"/>
      <c r="I223" s="7">
        <v>0</v>
      </c>
      <c r="J223" s="6"/>
      <c r="K223" s="7">
        <f>ROUND((G223-I223),5)</f>
        <v>1100</v>
      </c>
      <c r="L223" s="6"/>
      <c r="M223" s="15">
        <f>ROUND(IF(I223=0, IF(G223=0, 0, 1), G223/I223),5)</f>
        <v>1</v>
      </c>
    </row>
    <row r="224" spans="1:13">
      <c r="A224" s="4"/>
      <c r="B224" s="4"/>
      <c r="C224" s="4"/>
      <c r="D224" s="4"/>
      <c r="E224" s="4"/>
      <c r="F224" s="4" t="s">
        <v>293</v>
      </c>
      <c r="G224" s="7">
        <v>2393.4499999999998</v>
      </c>
      <c r="H224" s="6"/>
      <c r="I224" s="7">
        <v>2304</v>
      </c>
      <c r="J224" s="6"/>
      <c r="K224" s="7">
        <f>ROUND((G224-I224),5)</f>
        <v>89.45</v>
      </c>
      <c r="L224" s="6"/>
      <c r="M224" s="15">
        <f>ROUND(IF(I224=0, IF(G224=0, 0, 1), G224/I224),5)</f>
        <v>1.0388200000000001</v>
      </c>
    </row>
    <row r="225" spans="1:13">
      <c r="A225" s="4"/>
      <c r="B225" s="4"/>
      <c r="C225" s="4"/>
      <c r="D225" s="4"/>
      <c r="E225" s="4"/>
      <c r="F225" s="4" t="s">
        <v>294</v>
      </c>
      <c r="G225" s="7">
        <v>147.26</v>
      </c>
      <c r="H225" s="6"/>
      <c r="I225" s="7">
        <v>3335</v>
      </c>
      <c r="J225" s="6"/>
      <c r="K225" s="7">
        <f>ROUND((G225-I225),5)</f>
        <v>-3187.74</v>
      </c>
      <c r="L225" s="6"/>
      <c r="M225" s="15">
        <f>ROUND(IF(I225=0, IF(G225=0, 0, 1), G225/I225),5)</f>
        <v>4.4159999999999998E-2</v>
      </c>
    </row>
    <row r="226" spans="1:13">
      <c r="A226" s="4"/>
      <c r="B226" s="4"/>
      <c r="C226" s="4"/>
      <c r="D226" s="4"/>
      <c r="E226" s="4"/>
      <c r="F226" s="4" t="s">
        <v>295</v>
      </c>
      <c r="G226" s="7">
        <v>108.67</v>
      </c>
      <c r="H226" s="6"/>
      <c r="I226" s="7">
        <v>0</v>
      </c>
      <c r="J226" s="6"/>
      <c r="K226" s="7">
        <f>ROUND((G226-I226),5)</f>
        <v>108.67</v>
      </c>
      <c r="L226" s="6"/>
      <c r="M226" s="15">
        <f>ROUND(IF(I226=0, IF(G226=0, 0, 1), G226/I226),5)</f>
        <v>1</v>
      </c>
    </row>
    <row r="227" spans="1:13">
      <c r="A227" s="4"/>
      <c r="B227" s="4"/>
      <c r="C227" s="4"/>
      <c r="D227" s="4"/>
      <c r="E227" s="4"/>
      <c r="F227" s="4" t="s">
        <v>296</v>
      </c>
      <c r="G227" s="7">
        <v>5071.3100000000004</v>
      </c>
      <c r="H227" s="6"/>
      <c r="I227" s="7">
        <v>0</v>
      </c>
      <c r="J227" s="6"/>
      <c r="K227" s="7">
        <f>ROUND((G227-I227),5)</f>
        <v>5071.3100000000004</v>
      </c>
      <c r="L227" s="6"/>
      <c r="M227" s="15">
        <f>ROUND(IF(I227=0, IF(G227=0, 0, 1), G227/I227),5)</f>
        <v>1</v>
      </c>
    </row>
    <row r="228" spans="1:13" ht="15.75" thickBot="1">
      <c r="A228" s="4"/>
      <c r="B228" s="4"/>
      <c r="C228" s="4"/>
      <c r="D228" s="4"/>
      <c r="E228" s="4"/>
      <c r="F228" s="4" t="s">
        <v>297</v>
      </c>
      <c r="G228" s="9">
        <v>336.88</v>
      </c>
      <c r="H228" s="6"/>
      <c r="I228" s="9">
        <v>0</v>
      </c>
      <c r="J228" s="6"/>
      <c r="K228" s="9">
        <f>ROUND((G228-I228),5)</f>
        <v>336.88</v>
      </c>
      <c r="L228" s="6"/>
      <c r="M228" s="17">
        <f>ROUND(IF(I228=0, IF(G228=0, 0, 1), G228/I228),5)</f>
        <v>1</v>
      </c>
    </row>
    <row r="229" spans="1:13">
      <c r="A229" s="4"/>
      <c r="B229" s="4"/>
      <c r="C229" s="4"/>
      <c r="D229" s="4"/>
      <c r="E229" s="4" t="s">
        <v>298</v>
      </c>
      <c r="F229" s="4"/>
      <c r="G229" s="7">
        <f>ROUND(SUM(G220:G228),5)</f>
        <v>39493.769999999997</v>
      </c>
      <c r="H229" s="6"/>
      <c r="I229" s="7">
        <f>ROUND(SUM(I220:I228),5)</f>
        <v>38548</v>
      </c>
      <c r="J229" s="6"/>
      <c r="K229" s="7">
        <f>ROUND((G229-I229),5)</f>
        <v>945.77</v>
      </c>
      <c r="L229" s="6"/>
      <c r="M229" s="15">
        <f>ROUND(IF(I229=0, IF(G229=0, 0, 1), G229/I229),5)</f>
        <v>1.0245299999999999</v>
      </c>
    </row>
    <row r="230" spans="1:13">
      <c r="A230" s="4"/>
      <c r="B230" s="4"/>
      <c r="C230" s="4"/>
      <c r="D230" s="4"/>
      <c r="E230" s="4" t="s">
        <v>299</v>
      </c>
      <c r="F230" s="4"/>
      <c r="G230" s="7"/>
      <c r="H230" s="6"/>
      <c r="I230" s="7"/>
      <c r="J230" s="6"/>
      <c r="K230" s="7"/>
      <c r="L230" s="6"/>
      <c r="M230" s="15"/>
    </row>
    <row r="231" spans="1:13" ht="15.75" thickBot="1">
      <c r="A231" s="4"/>
      <c r="B231" s="4"/>
      <c r="C231" s="4"/>
      <c r="D231" s="4"/>
      <c r="E231" s="4"/>
      <c r="F231" s="4" t="s">
        <v>300</v>
      </c>
      <c r="G231" s="9">
        <v>205393.17</v>
      </c>
      <c r="H231" s="6"/>
      <c r="I231" s="9">
        <v>363392</v>
      </c>
      <c r="J231" s="6"/>
      <c r="K231" s="9">
        <f>ROUND((G231-I231),5)</f>
        <v>-157998.82999999999</v>
      </c>
      <c r="L231" s="6"/>
      <c r="M231" s="17">
        <f>ROUND(IF(I231=0, IF(G231=0, 0, 1), G231/I231),5)</f>
        <v>0.56520999999999999</v>
      </c>
    </row>
    <row r="232" spans="1:13">
      <c r="A232" s="4"/>
      <c r="B232" s="4"/>
      <c r="C232" s="4"/>
      <c r="D232" s="4"/>
      <c r="E232" s="4" t="s">
        <v>301</v>
      </c>
      <c r="F232" s="4"/>
      <c r="G232" s="7">
        <f>ROUND(SUM(G230:G231),5)</f>
        <v>205393.17</v>
      </c>
      <c r="H232" s="6"/>
      <c r="I232" s="7">
        <f>ROUND(SUM(I230:I231),5)</f>
        <v>363392</v>
      </c>
      <c r="J232" s="6"/>
      <c r="K232" s="7">
        <f>ROUND((G232-I232),5)</f>
        <v>-157998.82999999999</v>
      </c>
      <c r="L232" s="6"/>
      <c r="M232" s="15">
        <f>ROUND(IF(I232=0, IF(G232=0, 0, 1), G232/I232),5)</f>
        <v>0.56520999999999999</v>
      </c>
    </row>
    <row r="233" spans="1:13">
      <c r="A233" s="4"/>
      <c r="B233" s="4"/>
      <c r="C233" s="4"/>
      <c r="D233" s="4"/>
      <c r="E233" s="4" t="s">
        <v>302</v>
      </c>
      <c r="F233" s="4"/>
      <c r="G233" s="7"/>
      <c r="H233" s="6"/>
      <c r="I233" s="7"/>
      <c r="J233" s="6"/>
      <c r="K233" s="7"/>
      <c r="L233" s="6"/>
      <c r="M233" s="15"/>
    </row>
    <row r="234" spans="1:13" ht="15.75" thickBot="1">
      <c r="A234" s="4"/>
      <c r="B234" s="4"/>
      <c r="C234" s="4"/>
      <c r="D234" s="4"/>
      <c r="E234" s="4"/>
      <c r="F234" s="4" t="s">
        <v>303</v>
      </c>
      <c r="G234" s="9">
        <v>9578.6200000000008</v>
      </c>
      <c r="H234" s="6"/>
      <c r="I234" s="9">
        <v>0</v>
      </c>
      <c r="J234" s="6"/>
      <c r="K234" s="9">
        <f>ROUND((G234-I234),5)</f>
        <v>9578.6200000000008</v>
      </c>
      <c r="L234" s="6"/>
      <c r="M234" s="17">
        <f>ROUND(IF(I234=0, IF(G234=0, 0, 1), G234/I234),5)</f>
        <v>1</v>
      </c>
    </row>
    <row r="235" spans="1:13">
      <c r="A235" s="4"/>
      <c r="B235" s="4"/>
      <c r="C235" s="4"/>
      <c r="D235" s="4"/>
      <c r="E235" s="4" t="s">
        <v>304</v>
      </c>
      <c r="F235" s="4"/>
      <c r="G235" s="7">
        <f>ROUND(SUM(G233:G234),5)</f>
        <v>9578.6200000000008</v>
      </c>
      <c r="H235" s="6"/>
      <c r="I235" s="7">
        <f>ROUND(SUM(I233:I234),5)</f>
        <v>0</v>
      </c>
      <c r="J235" s="6"/>
      <c r="K235" s="7">
        <f>ROUND((G235-I235),5)</f>
        <v>9578.6200000000008</v>
      </c>
      <c r="L235" s="6"/>
      <c r="M235" s="15">
        <f>ROUND(IF(I235=0, IF(G235=0, 0, 1), G235/I235),5)</f>
        <v>1</v>
      </c>
    </row>
    <row r="236" spans="1:13">
      <c r="A236" s="4"/>
      <c r="B236" s="4"/>
      <c r="C236" s="4"/>
      <c r="D236" s="4"/>
      <c r="E236" s="4" t="s">
        <v>305</v>
      </c>
      <c r="F236" s="4"/>
      <c r="G236" s="7"/>
      <c r="H236" s="6"/>
      <c r="I236" s="7"/>
      <c r="J236" s="6"/>
      <c r="K236" s="7"/>
      <c r="L236" s="6"/>
      <c r="M236" s="15"/>
    </row>
    <row r="237" spans="1:13">
      <c r="A237" s="4"/>
      <c r="B237" s="4"/>
      <c r="C237" s="4"/>
      <c r="D237" s="4"/>
      <c r="E237" s="4"/>
      <c r="F237" s="4" t="s">
        <v>306</v>
      </c>
      <c r="G237" s="7">
        <v>84.15</v>
      </c>
      <c r="H237" s="6"/>
      <c r="I237" s="7">
        <v>0</v>
      </c>
      <c r="J237" s="6"/>
      <c r="K237" s="7">
        <f>ROUND((G237-I237),5)</f>
        <v>84.15</v>
      </c>
      <c r="L237" s="6"/>
      <c r="M237" s="15">
        <f>ROUND(IF(I237=0, IF(G237=0, 0, 1), G237/I237),5)</f>
        <v>1</v>
      </c>
    </row>
    <row r="238" spans="1:13">
      <c r="A238" s="4"/>
      <c r="B238" s="4"/>
      <c r="C238" s="4"/>
      <c r="D238" s="4"/>
      <c r="E238" s="4"/>
      <c r="F238" s="4" t="s">
        <v>307</v>
      </c>
      <c r="G238" s="7">
        <v>1000</v>
      </c>
      <c r="H238" s="6"/>
      <c r="I238" s="7">
        <v>0</v>
      </c>
      <c r="J238" s="6"/>
      <c r="K238" s="7">
        <f>ROUND((G238-I238),5)</f>
        <v>1000</v>
      </c>
      <c r="L238" s="6"/>
      <c r="M238" s="15">
        <f>ROUND(IF(I238=0, IF(G238=0, 0, 1), G238/I238),5)</f>
        <v>1</v>
      </c>
    </row>
    <row r="239" spans="1:13" ht="15.75" thickBot="1">
      <c r="A239" s="4"/>
      <c r="B239" s="4"/>
      <c r="C239" s="4"/>
      <c r="D239" s="4"/>
      <c r="E239" s="4"/>
      <c r="F239" s="4" t="s">
        <v>308</v>
      </c>
      <c r="G239" s="9">
        <v>32500</v>
      </c>
      <c r="H239" s="6"/>
      <c r="I239" s="9">
        <v>0</v>
      </c>
      <c r="J239" s="6"/>
      <c r="K239" s="9">
        <f>ROUND((G239-I239),5)</f>
        <v>32500</v>
      </c>
      <c r="L239" s="6"/>
      <c r="M239" s="17">
        <f>ROUND(IF(I239=0, IF(G239=0, 0, 1), G239/I239),5)</f>
        <v>1</v>
      </c>
    </row>
    <row r="240" spans="1:13">
      <c r="A240" s="4"/>
      <c r="B240" s="4"/>
      <c r="C240" s="4"/>
      <c r="D240" s="4"/>
      <c r="E240" s="4" t="s">
        <v>309</v>
      </c>
      <c r="F240" s="4"/>
      <c r="G240" s="7">
        <f>ROUND(SUM(G236:G239),5)</f>
        <v>33584.15</v>
      </c>
      <c r="H240" s="6"/>
      <c r="I240" s="7">
        <f>ROUND(SUM(I236:I239),5)</f>
        <v>0</v>
      </c>
      <c r="J240" s="6"/>
      <c r="K240" s="7">
        <f>ROUND((G240-I240),5)</f>
        <v>33584.15</v>
      </c>
      <c r="L240" s="6"/>
      <c r="M240" s="15">
        <f>ROUND(IF(I240=0, IF(G240=0, 0, 1), G240/I240),5)</f>
        <v>1</v>
      </c>
    </row>
    <row r="241" spans="1:13">
      <c r="A241" s="4"/>
      <c r="B241" s="4"/>
      <c r="C241" s="4"/>
      <c r="D241" s="4"/>
      <c r="E241" s="4" t="s">
        <v>310</v>
      </c>
      <c r="F241" s="4"/>
      <c r="G241" s="7"/>
      <c r="H241" s="6"/>
      <c r="I241" s="7"/>
      <c r="J241" s="6"/>
      <c r="K241" s="7"/>
      <c r="L241" s="6"/>
      <c r="M241" s="15"/>
    </row>
    <row r="242" spans="1:13">
      <c r="A242" s="4"/>
      <c r="B242" s="4"/>
      <c r="C242" s="4"/>
      <c r="D242" s="4"/>
      <c r="E242" s="4"/>
      <c r="F242" s="4" t="s">
        <v>311</v>
      </c>
      <c r="G242" s="7">
        <v>-400</v>
      </c>
      <c r="H242" s="6"/>
      <c r="I242" s="7">
        <v>0</v>
      </c>
      <c r="J242" s="6"/>
      <c r="K242" s="7">
        <f>ROUND((G242-I242),5)</f>
        <v>-400</v>
      </c>
      <c r="L242" s="6"/>
      <c r="M242" s="15">
        <f>ROUND(IF(I242=0, IF(G242=0, 0, 1), G242/I242),5)</f>
        <v>1</v>
      </c>
    </row>
    <row r="243" spans="1:13" ht="15.75" thickBot="1">
      <c r="A243" s="4"/>
      <c r="B243" s="4"/>
      <c r="C243" s="4"/>
      <c r="D243" s="4"/>
      <c r="E243" s="4"/>
      <c r="F243" s="4" t="s">
        <v>312</v>
      </c>
      <c r="G243" s="9">
        <v>45.9</v>
      </c>
      <c r="H243" s="6"/>
      <c r="I243" s="9">
        <v>0</v>
      </c>
      <c r="J243" s="6"/>
      <c r="K243" s="9">
        <f>ROUND((G243-I243),5)</f>
        <v>45.9</v>
      </c>
      <c r="L243" s="6"/>
      <c r="M243" s="17">
        <f>ROUND(IF(I243=0, IF(G243=0, 0, 1), G243/I243),5)</f>
        <v>1</v>
      </c>
    </row>
    <row r="244" spans="1:13">
      <c r="A244" s="4"/>
      <c r="B244" s="4"/>
      <c r="C244" s="4"/>
      <c r="D244" s="4"/>
      <c r="E244" s="4" t="s">
        <v>313</v>
      </c>
      <c r="F244" s="4"/>
      <c r="G244" s="7">
        <f>ROUND(SUM(G241:G243),5)</f>
        <v>-354.1</v>
      </c>
      <c r="H244" s="6"/>
      <c r="I244" s="7">
        <f>ROUND(SUM(I241:I243),5)</f>
        <v>0</v>
      </c>
      <c r="J244" s="6"/>
      <c r="K244" s="7">
        <f>ROUND((G244-I244),5)</f>
        <v>-354.1</v>
      </c>
      <c r="L244" s="6"/>
      <c r="M244" s="15">
        <f>ROUND(IF(I244=0, IF(G244=0, 0, 1), G244/I244),5)</f>
        <v>1</v>
      </c>
    </row>
    <row r="245" spans="1:13">
      <c r="A245" s="4"/>
      <c r="B245" s="4"/>
      <c r="C245" s="4"/>
      <c r="D245" s="4"/>
      <c r="E245" s="4" t="s">
        <v>314</v>
      </c>
      <c r="F245" s="4"/>
      <c r="G245" s="7"/>
      <c r="H245" s="6"/>
      <c r="I245" s="7"/>
      <c r="J245" s="6"/>
      <c r="K245" s="7"/>
      <c r="L245" s="6"/>
      <c r="M245" s="15"/>
    </row>
    <row r="246" spans="1:13">
      <c r="A246" s="4"/>
      <c r="B246" s="4"/>
      <c r="C246" s="4"/>
      <c r="D246" s="4"/>
      <c r="E246" s="4"/>
      <c r="F246" s="4" t="s">
        <v>315</v>
      </c>
      <c r="G246" s="7">
        <v>5819.8</v>
      </c>
      <c r="H246" s="6"/>
      <c r="I246" s="7">
        <v>0</v>
      </c>
      <c r="J246" s="6"/>
      <c r="K246" s="7">
        <f>ROUND((G246-I246),5)</f>
        <v>5819.8</v>
      </c>
      <c r="L246" s="6"/>
      <c r="M246" s="15">
        <f>ROUND(IF(I246=0, IF(G246=0, 0, 1), G246/I246),5)</f>
        <v>1</v>
      </c>
    </row>
    <row r="247" spans="1:13">
      <c r="A247" s="4"/>
      <c r="B247" s="4"/>
      <c r="C247" s="4"/>
      <c r="D247" s="4"/>
      <c r="E247" s="4"/>
      <c r="F247" s="4" t="s">
        <v>316</v>
      </c>
      <c r="G247" s="7">
        <v>1904</v>
      </c>
      <c r="H247" s="6"/>
      <c r="I247" s="7">
        <v>0</v>
      </c>
      <c r="J247" s="6"/>
      <c r="K247" s="7">
        <f>ROUND((G247-I247),5)</f>
        <v>1904</v>
      </c>
      <c r="L247" s="6"/>
      <c r="M247" s="15">
        <f>ROUND(IF(I247=0, IF(G247=0, 0, 1), G247/I247),5)</f>
        <v>1</v>
      </c>
    </row>
    <row r="248" spans="1:13">
      <c r="A248" s="4"/>
      <c r="B248" s="4"/>
      <c r="C248" s="4"/>
      <c r="D248" s="4"/>
      <c r="E248" s="4"/>
      <c r="F248" s="4" t="s">
        <v>317</v>
      </c>
      <c r="G248" s="7">
        <v>23292.37</v>
      </c>
      <c r="H248" s="6"/>
      <c r="I248" s="7">
        <v>0</v>
      </c>
      <c r="J248" s="6"/>
      <c r="K248" s="7">
        <f>ROUND((G248-I248),5)</f>
        <v>23292.37</v>
      </c>
      <c r="L248" s="6"/>
      <c r="M248" s="15">
        <f>ROUND(IF(I248=0, IF(G248=0, 0, 1), G248/I248),5)</f>
        <v>1</v>
      </c>
    </row>
    <row r="249" spans="1:13">
      <c r="A249" s="4"/>
      <c r="B249" s="4"/>
      <c r="C249" s="4"/>
      <c r="D249" s="4"/>
      <c r="E249" s="4"/>
      <c r="F249" s="4" t="s">
        <v>318</v>
      </c>
      <c r="G249" s="7">
        <v>1005.37</v>
      </c>
      <c r="H249" s="6"/>
      <c r="I249" s="7">
        <v>0</v>
      </c>
      <c r="J249" s="6"/>
      <c r="K249" s="7">
        <f>ROUND((G249-I249),5)</f>
        <v>1005.37</v>
      </c>
      <c r="L249" s="6"/>
      <c r="M249" s="15">
        <f>ROUND(IF(I249=0, IF(G249=0, 0, 1), G249/I249),5)</f>
        <v>1</v>
      </c>
    </row>
    <row r="250" spans="1:13" ht="15.75" thickBot="1">
      <c r="A250" s="4"/>
      <c r="B250" s="4"/>
      <c r="C250" s="4"/>
      <c r="D250" s="4"/>
      <c r="E250" s="4"/>
      <c r="F250" s="4" t="s">
        <v>319</v>
      </c>
      <c r="G250" s="9">
        <v>1281</v>
      </c>
      <c r="H250" s="6"/>
      <c r="I250" s="9">
        <v>0</v>
      </c>
      <c r="J250" s="6"/>
      <c r="K250" s="9">
        <f>ROUND((G250-I250),5)</f>
        <v>1281</v>
      </c>
      <c r="L250" s="6"/>
      <c r="M250" s="17">
        <f>ROUND(IF(I250=0, IF(G250=0, 0, 1), G250/I250),5)</f>
        <v>1</v>
      </c>
    </row>
    <row r="251" spans="1:13">
      <c r="A251" s="4"/>
      <c r="B251" s="4"/>
      <c r="C251" s="4"/>
      <c r="D251" s="4"/>
      <c r="E251" s="4" t="s">
        <v>320</v>
      </c>
      <c r="F251" s="4"/>
      <c r="G251" s="7">
        <f>ROUND(SUM(G245:G250),5)</f>
        <v>33302.54</v>
      </c>
      <c r="H251" s="6"/>
      <c r="I251" s="7">
        <f>ROUND(SUM(I245:I250),5)</f>
        <v>0</v>
      </c>
      <c r="J251" s="6"/>
      <c r="K251" s="7">
        <f>ROUND((G251-I251),5)</f>
        <v>33302.54</v>
      </c>
      <c r="L251" s="6"/>
      <c r="M251" s="15">
        <f>ROUND(IF(I251=0, IF(G251=0, 0, 1), G251/I251),5)</f>
        <v>1</v>
      </c>
    </row>
    <row r="252" spans="1:13">
      <c r="A252" s="4"/>
      <c r="B252" s="4"/>
      <c r="C252" s="4"/>
      <c r="D252" s="4"/>
      <c r="E252" s="4" t="s">
        <v>321</v>
      </c>
      <c r="F252" s="4"/>
      <c r="G252" s="7"/>
      <c r="H252" s="6"/>
      <c r="I252" s="7"/>
      <c r="J252" s="6"/>
      <c r="K252" s="7"/>
      <c r="L252" s="6"/>
      <c r="M252" s="15"/>
    </row>
    <row r="253" spans="1:13" ht="15.75" thickBot="1">
      <c r="A253" s="4"/>
      <c r="B253" s="4"/>
      <c r="C253" s="4"/>
      <c r="D253" s="4"/>
      <c r="E253" s="4"/>
      <c r="F253" s="4" t="s">
        <v>322</v>
      </c>
      <c r="G253" s="7">
        <v>16220</v>
      </c>
      <c r="H253" s="6"/>
      <c r="I253" s="7">
        <v>30000</v>
      </c>
      <c r="J253" s="6"/>
      <c r="K253" s="7">
        <f>ROUND((G253-I253),5)</f>
        <v>-13780</v>
      </c>
      <c r="L253" s="6"/>
      <c r="M253" s="15">
        <f>ROUND(IF(I253=0, IF(G253=0, 0, 1), G253/I253),5)</f>
        <v>0.54066999999999998</v>
      </c>
    </row>
    <row r="254" spans="1:13" ht="15.75" thickBot="1">
      <c r="A254" s="4"/>
      <c r="B254" s="4"/>
      <c r="C254" s="4"/>
      <c r="D254" s="4"/>
      <c r="E254" s="4" t="s">
        <v>323</v>
      </c>
      <c r="F254" s="4"/>
      <c r="G254" s="5">
        <f>ROUND(SUM(G252:G253),5)</f>
        <v>16220</v>
      </c>
      <c r="H254" s="6"/>
      <c r="I254" s="5">
        <f>ROUND(SUM(I252:I253),5)</f>
        <v>30000</v>
      </c>
      <c r="J254" s="6"/>
      <c r="K254" s="5">
        <f>ROUND((G254-I254),5)</f>
        <v>-13780</v>
      </c>
      <c r="L254" s="6"/>
      <c r="M254" s="14">
        <f>ROUND(IF(I254=0, IF(G254=0, 0, 1), G254/I254),5)</f>
        <v>0.54066999999999998</v>
      </c>
    </row>
    <row r="255" spans="1:13" ht="15.75" thickBot="1">
      <c r="A255" s="4"/>
      <c r="B255" s="4"/>
      <c r="C255" s="4"/>
      <c r="D255" s="4" t="s">
        <v>324</v>
      </c>
      <c r="E255" s="4"/>
      <c r="F255" s="4"/>
      <c r="G255" s="8">
        <f>ROUND(SUM(G38:G40)+G73+G76+G87+G90+G99+G103+G109+G116+G119+G122+G127+G143+G153+G156+G159+G163+G166+G172+G188+G191+G195+G198+G205+G208+G219+G229+G232+G235+G240+G244+G251+G254,5)</f>
        <v>7144525.9699999997</v>
      </c>
      <c r="H255" s="6"/>
      <c r="I255" s="8">
        <f>ROUND(SUM(I38:I40)+I73+I76+I87+I90+I99+I103+I109+I116+I119+I122+I127+I143+I153+I156+I159+I163+I166+I172+I188+I191+I195+I198+I205+I208+I219+I229+I232+I235+I240+I244+I251+I254,5)</f>
        <v>4942660</v>
      </c>
      <c r="J255" s="6"/>
      <c r="K255" s="8">
        <f>ROUND((G255-I255),5)</f>
        <v>2201865.9700000002</v>
      </c>
      <c r="L255" s="6"/>
      <c r="M255" s="16">
        <f>ROUND(IF(I255=0, IF(G255=0, 0, 1), G255/I255),5)</f>
        <v>1.4454800000000001</v>
      </c>
    </row>
    <row r="256" spans="1:13">
      <c r="A256" s="4"/>
      <c r="B256" s="4" t="s">
        <v>325</v>
      </c>
      <c r="C256" s="4"/>
      <c r="D256" s="4"/>
      <c r="E256" s="4"/>
      <c r="F256" s="4"/>
      <c r="G256" s="7">
        <f>ROUND(G3+G37-G255,5)</f>
        <v>542510.37</v>
      </c>
      <c r="H256" s="6"/>
      <c r="I256" s="7">
        <f>ROUND(I3+I37-I255,5)</f>
        <v>281733</v>
      </c>
      <c r="J256" s="6"/>
      <c r="K256" s="7">
        <f>ROUND((G256-I256),5)</f>
        <v>260777.37</v>
      </c>
      <c r="L256" s="6"/>
      <c r="M256" s="15">
        <f>ROUND(IF(I256=0, IF(G256=0, 0, 1), G256/I256),5)</f>
        <v>1.9256200000000001</v>
      </c>
    </row>
    <row r="257" spans="1:13">
      <c r="A257" s="4"/>
      <c r="B257" s="4" t="s">
        <v>326</v>
      </c>
      <c r="C257" s="4"/>
      <c r="D257" s="4"/>
      <c r="E257" s="4"/>
      <c r="F257" s="4"/>
      <c r="G257" s="7"/>
      <c r="H257" s="6"/>
      <c r="I257" s="7"/>
      <c r="J257" s="6"/>
      <c r="K257" s="7"/>
      <c r="L257" s="6"/>
      <c r="M257" s="15"/>
    </row>
    <row r="258" spans="1:13">
      <c r="A258" s="4"/>
      <c r="B258" s="4"/>
      <c r="C258" s="4" t="s">
        <v>327</v>
      </c>
      <c r="D258" s="4"/>
      <c r="E258" s="4"/>
      <c r="F258" s="4"/>
      <c r="G258" s="7"/>
      <c r="H258" s="6"/>
      <c r="I258" s="7"/>
      <c r="J258" s="6"/>
      <c r="K258" s="7"/>
      <c r="L258" s="6"/>
      <c r="M258" s="15"/>
    </row>
    <row r="259" spans="1:13">
      <c r="A259" s="4"/>
      <c r="B259" s="4"/>
      <c r="C259" s="4"/>
      <c r="D259" s="4" t="s">
        <v>328</v>
      </c>
      <c r="E259" s="4"/>
      <c r="F259" s="4"/>
      <c r="G259" s="7">
        <v>114644.31</v>
      </c>
      <c r="H259" s="6"/>
      <c r="I259" s="7">
        <v>0</v>
      </c>
      <c r="J259" s="6"/>
      <c r="K259" s="7">
        <f>ROUND((G259-I259),5)</f>
        <v>114644.31</v>
      </c>
      <c r="L259" s="6"/>
      <c r="M259" s="15">
        <f>ROUND(IF(I259=0, IF(G259=0, 0, 1), G259/I259),5)</f>
        <v>1</v>
      </c>
    </row>
    <row r="260" spans="1:13" ht="15.75" thickBot="1">
      <c r="A260" s="4"/>
      <c r="B260" s="4"/>
      <c r="C260" s="4"/>
      <c r="D260" s="4" t="s">
        <v>373</v>
      </c>
      <c r="E260" s="4"/>
      <c r="F260" s="4"/>
      <c r="G260" s="7">
        <v>0</v>
      </c>
      <c r="H260" s="6"/>
      <c r="I260" s="7">
        <v>150000</v>
      </c>
      <c r="J260" s="6"/>
      <c r="K260" s="7">
        <f>ROUND((G260-I260),5)</f>
        <v>-150000</v>
      </c>
      <c r="L260" s="6"/>
      <c r="M260" s="15">
        <f>ROUND(IF(I260=0, IF(G260=0, 0, 1), G260/I260),5)</f>
        <v>0</v>
      </c>
    </row>
    <row r="261" spans="1:13" ht="15.75" thickBot="1">
      <c r="A261" s="4"/>
      <c r="B261" s="4"/>
      <c r="C261" s="4" t="s">
        <v>329</v>
      </c>
      <c r="D261" s="4"/>
      <c r="E261" s="4"/>
      <c r="F261" s="4"/>
      <c r="G261" s="5">
        <f>ROUND(SUM(G258:G260),5)</f>
        <v>114644.31</v>
      </c>
      <c r="H261" s="6"/>
      <c r="I261" s="5">
        <f>ROUND(SUM(I258:I260),5)</f>
        <v>150000</v>
      </c>
      <c r="J261" s="6"/>
      <c r="K261" s="5">
        <f>ROUND((G261-I261),5)</f>
        <v>-35355.69</v>
      </c>
      <c r="L261" s="6"/>
      <c r="M261" s="14">
        <f>ROUND(IF(I261=0, IF(G261=0, 0, 1), G261/I261),5)</f>
        <v>0.76429999999999998</v>
      </c>
    </row>
    <row r="262" spans="1:13" ht="15.75" thickBot="1">
      <c r="A262" s="4"/>
      <c r="B262" s="4" t="s">
        <v>330</v>
      </c>
      <c r="C262" s="4"/>
      <c r="D262" s="4"/>
      <c r="E262" s="4"/>
      <c r="F262" s="4"/>
      <c r="G262" s="5">
        <f>ROUND(G257-G261,5)</f>
        <v>-114644.31</v>
      </c>
      <c r="H262" s="6"/>
      <c r="I262" s="5">
        <f>ROUND(I257-I261,5)</f>
        <v>-150000</v>
      </c>
      <c r="J262" s="6"/>
      <c r="K262" s="5">
        <f>ROUND((G262-I262),5)</f>
        <v>35355.69</v>
      </c>
      <c r="L262" s="6"/>
      <c r="M262" s="14">
        <f>ROUND(IF(I262=0, IF(G262=0, 0, 1), G262/I262),5)</f>
        <v>0.76429999999999998</v>
      </c>
    </row>
    <row r="263" spans="1:13" s="2" customFormat="1" ht="12" thickBot="1">
      <c r="A263" s="4" t="s">
        <v>78</v>
      </c>
      <c r="B263" s="4"/>
      <c r="C263" s="4"/>
      <c r="D263" s="4"/>
      <c r="E263" s="4"/>
      <c r="F263" s="4"/>
      <c r="G263" s="3">
        <f>ROUND(G256+G262,5)</f>
        <v>427866.06</v>
      </c>
      <c r="H263" s="4"/>
      <c r="I263" s="3">
        <f>ROUND(I256+I262,5)</f>
        <v>131733</v>
      </c>
      <c r="J263" s="4"/>
      <c r="K263" s="3">
        <f>ROUND((G263-I263),5)</f>
        <v>296133.06</v>
      </c>
      <c r="L263" s="4"/>
      <c r="M263" s="13">
        <f>ROUND(IF(I263=0, IF(G263=0, 0, 1), G263/I263),5)</f>
        <v>3.2479800000000001</v>
      </c>
    </row>
    <row r="264" spans="1:13" ht="15.75" thickTop="1"/>
  </sheetData>
  <pageMargins left="0" right="0" top="0.75" bottom="0.75" header="0.1" footer="0.3"/>
  <pageSetup scale="80" orientation="portrait" r:id="rId1"/>
  <headerFooter>
    <oddHeader>&amp;L&amp;"Arial,Bold"&amp;8 11:57 AM
&amp;"Arial,Bold"&amp;8 07/28/26
&amp;"Arial,Bold"&amp;8 Accrual Basis&amp;C&amp;"Arial,Bold"&amp;12 Believe Schools Inc
&amp;"Arial,Bold"&amp;14 Profit &amp;&amp; Loss Budget vs. Actual Through June
&amp;"Arial,Bold"&amp;10 July 2025 through June 2026</oddHeader>
    <oddFooter>&amp;R&amp;"Arial,Bold"&amp;8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8DEE-3FDA-444A-9DEF-A550D6B0F7B4}">
  <sheetPr codeName="Sheet6">
    <pageSetUpPr fitToPage="1"/>
  </sheetPr>
  <dimension ref="A1:AJ253"/>
  <sheetViews>
    <sheetView workbookViewId="0">
      <selection activeCell="D21" sqref="D21"/>
    </sheetView>
  </sheetViews>
  <sheetFormatPr defaultColWidth="9.140625" defaultRowHeight="11.25" outlineLevelRow="2" outlineLevelCol="1"/>
  <cols>
    <col min="1" max="1" width="2.7109375" style="22" customWidth="1"/>
    <col min="2" max="2" width="6.85546875" style="26" bestFit="1" customWidth="1"/>
    <col min="3" max="3" width="3.5703125" style="26" bestFit="1" customWidth="1"/>
    <col min="4" max="4" width="37.140625" style="26" customWidth="1"/>
    <col min="5" max="6" width="12.5703125" style="21" customWidth="1" outlineLevel="1"/>
    <col min="7" max="7" width="13.7109375" style="21" customWidth="1" outlineLevel="1"/>
    <col min="8" max="8" width="9.85546875" style="21" customWidth="1" outlineLevel="1"/>
    <col min="9" max="9" width="13" style="21" customWidth="1" outlineLevel="1"/>
    <col min="10" max="11" width="9.85546875" style="21" customWidth="1" outlineLevel="1"/>
    <col min="12" max="12" width="11" style="21" customWidth="1" outlineLevel="1"/>
    <col min="13" max="13" width="9.85546875" style="21" customWidth="1" outlineLevel="1"/>
    <col min="14" max="14" width="11" style="21" customWidth="1" outlineLevel="1"/>
    <col min="15" max="15" width="10.85546875" style="21" customWidth="1" outlineLevel="1"/>
    <col min="16" max="16" width="11.28515625" style="21" customWidth="1" outlineLevel="1"/>
    <col min="17" max="17" width="11" style="21" customWidth="1" outlineLevel="1"/>
    <col min="18" max="18" width="9.85546875" style="21" customWidth="1"/>
    <col min="19" max="19" width="3" style="22" customWidth="1"/>
    <col min="20" max="21" width="9.7109375" style="21" customWidth="1"/>
    <col min="22" max="22" width="72.42578125" style="22" customWidth="1"/>
    <col min="23" max="16384" width="9.140625" style="22"/>
  </cols>
  <sheetData>
    <row r="1" spans="1:22" ht="20.25">
      <c r="A1" s="56" t="s">
        <v>374</v>
      </c>
      <c r="B1" s="57"/>
      <c r="C1" s="57"/>
      <c r="D1" s="57"/>
      <c r="G1" s="22"/>
      <c r="H1" s="22"/>
      <c r="M1" s="23"/>
      <c r="Q1" s="23"/>
    </row>
    <row r="2" spans="1:22" ht="15.75">
      <c r="A2" s="58" t="s">
        <v>375</v>
      </c>
      <c r="B2" s="57"/>
      <c r="C2" s="57"/>
      <c r="D2" s="57"/>
      <c r="G2" s="82" t="s">
        <v>376</v>
      </c>
      <c r="H2" s="83">
        <v>330</v>
      </c>
      <c r="I2" s="84"/>
      <c r="J2" s="82"/>
      <c r="M2" s="85"/>
      <c r="N2" s="21" t="s">
        <v>377</v>
      </c>
      <c r="P2" s="23"/>
    </row>
    <row r="3" spans="1:22" ht="12">
      <c r="A3" s="59"/>
      <c r="B3" s="59"/>
      <c r="C3" s="59"/>
      <c r="D3" s="59"/>
      <c r="E3" s="24"/>
      <c r="F3" s="24"/>
      <c r="G3" s="88" t="s">
        <v>378</v>
      </c>
      <c r="H3" s="86">
        <v>330</v>
      </c>
      <c r="I3" s="89"/>
      <c r="J3" s="52"/>
      <c r="T3" s="25" t="s">
        <v>379</v>
      </c>
      <c r="U3" s="25"/>
    </row>
    <row r="4" spans="1:22">
      <c r="J4" s="90" t="s">
        <v>380</v>
      </c>
      <c r="K4" s="90" t="s">
        <v>380</v>
      </c>
      <c r="O4" s="92"/>
      <c r="P4" s="92"/>
      <c r="Q4" s="92" t="s">
        <v>381</v>
      </c>
      <c r="R4" s="25" t="s">
        <v>379</v>
      </c>
      <c r="T4" s="25" t="s">
        <v>382</v>
      </c>
      <c r="U4" s="25"/>
    </row>
    <row r="5" spans="1:22" ht="11.25" customHeight="1" thickBot="1">
      <c r="E5" s="27">
        <v>45863</v>
      </c>
      <c r="F5" s="27">
        <v>45894</v>
      </c>
      <c r="G5" s="27">
        <v>45925</v>
      </c>
      <c r="H5" s="27">
        <v>45955</v>
      </c>
      <c r="I5" s="27">
        <v>45986</v>
      </c>
      <c r="J5" s="27">
        <v>46016</v>
      </c>
      <c r="K5" s="27" t="s">
        <v>383</v>
      </c>
      <c r="L5" s="27">
        <v>46079</v>
      </c>
      <c r="M5" s="27">
        <v>46107</v>
      </c>
      <c r="N5" s="27" t="s">
        <v>384</v>
      </c>
      <c r="O5" s="27">
        <v>46168</v>
      </c>
      <c r="P5" s="72">
        <v>46198</v>
      </c>
      <c r="Q5" s="72">
        <v>46199</v>
      </c>
      <c r="R5" s="28" t="s">
        <v>385</v>
      </c>
      <c r="S5" s="29"/>
      <c r="T5" s="28" t="s">
        <v>386</v>
      </c>
      <c r="U5" s="28" t="s">
        <v>387</v>
      </c>
      <c r="V5" s="30" t="s">
        <v>388</v>
      </c>
    </row>
    <row r="6" spans="1:22" s="31" customFormat="1" ht="11.25" customHeight="1" thickBot="1">
      <c r="B6" s="26"/>
      <c r="C6" s="26"/>
      <c r="D6" s="26"/>
      <c r="E6" s="28" t="s">
        <v>389</v>
      </c>
      <c r="F6" s="28" t="s">
        <v>389</v>
      </c>
      <c r="G6" s="28" t="s">
        <v>389</v>
      </c>
      <c r="H6" s="28" t="s">
        <v>389</v>
      </c>
      <c r="I6" s="28" t="s">
        <v>389</v>
      </c>
      <c r="J6" s="28" t="s">
        <v>389</v>
      </c>
      <c r="K6" s="28" t="s">
        <v>389</v>
      </c>
      <c r="L6" s="28" t="s">
        <v>389</v>
      </c>
      <c r="M6" s="28" t="s">
        <v>389</v>
      </c>
      <c r="N6" s="28" t="s">
        <v>389</v>
      </c>
      <c r="O6" s="28" t="s">
        <v>389</v>
      </c>
      <c r="P6" s="73" t="s">
        <v>353</v>
      </c>
      <c r="Q6" s="73" t="s">
        <v>389</v>
      </c>
      <c r="R6" s="28" t="s">
        <v>345</v>
      </c>
      <c r="S6" s="29"/>
      <c r="T6" s="25"/>
      <c r="U6" s="25"/>
      <c r="V6" s="29"/>
    </row>
    <row r="7" spans="1:22" s="31" customFormat="1">
      <c r="B7" s="26"/>
      <c r="C7" s="26"/>
      <c r="D7" s="26"/>
      <c r="E7" s="25" t="s">
        <v>390</v>
      </c>
      <c r="F7" s="25" t="s">
        <v>391</v>
      </c>
      <c r="G7" s="25" t="s">
        <v>392</v>
      </c>
      <c r="H7" s="25" t="s">
        <v>393</v>
      </c>
      <c r="I7" s="25" t="s">
        <v>392</v>
      </c>
      <c r="J7" s="25" t="s">
        <v>392</v>
      </c>
      <c r="K7" s="25" t="s">
        <v>392</v>
      </c>
      <c r="L7" s="25" t="s">
        <v>392</v>
      </c>
      <c r="M7" s="25" t="s">
        <v>394</v>
      </c>
      <c r="N7" s="25" t="s">
        <v>395</v>
      </c>
      <c r="O7" s="25" t="s">
        <v>396</v>
      </c>
      <c r="P7" s="91" t="s">
        <v>397</v>
      </c>
      <c r="Q7" s="91" t="s">
        <v>397</v>
      </c>
      <c r="R7" s="25"/>
      <c r="S7" s="29"/>
      <c r="T7" s="25"/>
      <c r="U7" s="25"/>
      <c r="V7" s="29"/>
    </row>
    <row r="8" spans="1:22" ht="11.25" customHeight="1">
      <c r="A8" s="32" t="s">
        <v>398</v>
      </c>
      <c r="B8" s="33"/>
      <c r="C8" s="33"/>
      <c r="D8" s="33"/>
      <c r="E8" s="42" t="s">
        <v>399</v>
      </c>
      <c r="F8" s="42" t="s">
        <v>399</v>
      </c>
      <c r="G8" s="42" t="s">
        <v>399</v>
      </c>
      <c r="H8" s="33"/>
      <c r="I8" s="33"/>
      <c r="J8" s="33"/>
      <c r="K8" s="33"/>
      <c r="L8" s="33"/>
      <c r="M8" s="33"/>
      <c r="N8" s="33"/>
      <c r="O8" s="33"/>
      <c r="P8" s="74"/>
      <c r="Q8" s="74"/>
      <c r="R8" s="34"/>
      <c r="T8" s="34"/>
      <c r="U8" s="34"/>
    </row>
    <row r="9" spans="1:22" ht="61.5" customHeight="1" outlineLevel="2">
      <c r="A9" s="35"/>
      <c r="B9" s="26" t="s">
        <v>400</v>
      </c>
      <c r="D9" s="26" t="s">
        <v>401</v>
      </c>
      <c r="E9" s="21">
        <v>290783.08</v>
      </c>
      <c r="F9" s="21">
        <v>290783.08</v>
      </c>
      <c r="G9" s="21">
        <v>290783.08</v>
      </c>
      <c r="H9" s="21">
        <v>290783.08</v>
      </c>
      <c r="I9" s="21">
        <v>163117.01999999999</v>
      </c>
      <c r="J9" s="21">
        <v>169515.73</v>
      </c>
      <c r="K9" s="21">
        <v>169515.73</v>
      </c>
      <c r="L9" s="21">
        <v>179300.33</v>
      </c>
      <c r="M9" s="21">
        <f>178239.08+32478.55+6061+6398.71+19956.02</f>
        <v>243133.35999999996</v>
      </c>
      <c r="N9" s="21">
        <v>222542.07</v>
      </c>
      <c r="O9" s="21">
        <v>222542.06</v>
      </c>
      <c r="P9" s="74">
        <v>220338.06</v>
      </c>
      <c r="Q9" s="74">
        <f>223537.06+0.06</f>
        <v>223537.12</v>
      </c>
      <c r="R9" s="21">
        <f>SUM(E9:Q9)-P9</f>
        <v>2756335.74</v>
      </c>
      <c r="T9" s="21">
        <v>2972128</v>
      </c>
      <c r="U9" s="21">
        <f>+R9-T9</f>
        <v>-215792.25999999978</v>
      </c>
      <c r="V9" s="81" t="s">
        <v>402</v>
      </c>
    </row>
    <row r="10" spans="1:22" ht="11.25" customHeight="1" outlineLevel="2">
      <c r="A10" s="35"/>
      <c r="B10" s="26">
        <v>3114</v>
      </c>
      <c r="D10" s="26" t="s">
        <v>403</v>
      </c>
      <c r="I10" s="21">
        <v>124843.8</v>
      </c>
      <c r="P10" s="74"/>
      <c r="Q10" s="74"/>
      <c r="R10" s="21">
        <f t="shared" ref="R10:R12" si="0">SUM(E10:Q10)-P10</f>
        <v>124843.8</v>
      </c>
      <c r="T10" s="21">
        <v>108060</v>
      </c>
      <c r="U10" s="21">
        <f t="shared" ref="U10:U12" si="1">+R10-T10</f>
        <v>16783.800000000003</v>
      </c>
      <c r="V10" s="22" t="s">
        <v>404</v>
      </c>
    </row>
    <row r="11" spans="1:22" ht="11.25" customHeight="1" outlineLevel="2">
      <c r="A11" s="35"/>
      <c r="B11" s="26">
        <v>3111</v>
      </c>
      <c r="D11" s="26" t="s">
        <v>405</v>
      </c>
      <c r="J11" s="21">
        <v>64750</v>
      </c>
      <c r="P11" s="74">
        <v>63479</v>
      </c>
      <c r="Q11" s="74">
        <v>62750</v>
      </c>
      <c r="R11" s="21">
        <f t="shared" si="0"/>
        <v>127500</v>
      </c>
      <c r="T11" s="21">
        <v>0</v>
      </c>
      <c r="U11" s="21">
        <f t="shared" si="1"/>
        <v>127500</v>
      </c>
    </row>
    <row r="12" spans="1:22" ht="11.25" customHeight="1" outlineLevel="2">
      <c r="A12" s="35"/>
      <c r="B12" s="26">
        <v>3111</v>
      </c>
      <c r="D12" s="26" t="s">
        <v>406</v>
      </c>
      <c r="E12" s="21">
        <v>0</v>
      </c>
      <c r="M12" s="21">
        <v>0</v>
      </c>
      <c r="P12" s="74">
        <v>0</v>
      </c>
      <c r="Q12" s="74"/>
      <c r="R12" s="21">
        <f t="shared" si="0"/>
        <v>0</v>
      </c>
      <c r="T12" s="21">
        <v>9179</v>
      </c>
      <c r="U12" s="21">
        <f t="shared" si="1"/>
        <v>-9179</v>
      </c>
      <c r="V12" s="22" t="s">
        <v>407</v>
      </c>
    </row>
    <row r="13" spans="1:22" s="40" customFormat="1" ht="11.25" customHeight="1" outlineLevel="1">
      <c r="A13" s="36" t="s">
        <v>408</v>
      </c>
      <c r="B13" s="37"/>
      <c r="C13" s="37"/>
      <c r="D13" s="37"/>
      <c r="E13" s="38">
        <f t="shared" ref="E13:J13" si="2">SUM(E9:E12)</f>
        <v>290783.08</v>
      </c>
      <c r="F13" s="38">
        <f t="shared" si="2"/>
        <v>290783.08</v>
      </c>
      <c r="G13" s="38">
        <f t="shared" si="2"/>
        <v>290783.08</v>
      </c>
      <c r="H13" s="38">
        <f t="shared" si="2"/>
        <v>290783.08</v>
      </c>
      <c r="I13" s="38">
        <f t="shared" si="2"/>
        <v>287960.82</v>
      </c>
      <c r="J13" s="38">
        <f t="shared" si="2"/>
        <v>234265.73</v>
      </c>
      <c r="K13" s="38">
        <f>SUM(K9:K12)</f>
        <v>169515.73</v>
      </c>
      <c r="L13" s="38">
        <f>SUM(L9:L12)</f>
        <v>179300.33</v>
      </c>
      <c r="M13" s="38">
        <f>SUM(M9:M12)</f>
        <v>243133.35999999996</v>
      </c>
      <c r="N13" s="38">
        <f>SUM(N9:N12)</f>
        <v>222542.07</v>
      </c>
      <c r="O13" s="38">
        <f>SUM(O9:O12)</f>
        <v>222542.06</v>
      </c>
      <c r="P13" s="75">
        <f t="shared" ref="P13" si="3">SUM(P9:P12)</f>
        <v>283817.06</v>
      </c>
      <c r="Q13" s="75">
        <f>SUM(Q9:Q12)</f>
        <v>286287.12</v>
      </c>
      <c r="R13" s="38">
        <f>SUM(R9:R12)</f>
        <v>3008679.54</v>
      </c>
      <c r="S13" s="39"/>
      <c r="T13" s="38">
        <f>SUM(T9:T12)</f>
        <v>3089367</v>
      </c>
      <c r="U13" s="38">
        <f>SUM(U9:U12)</f>
        <v>-80687.459999999788</v>
      </c>
    </row>
    <row r="14" spans="1:22" ht="11.25" customHeight="1" outlineLevel="2">
      <c r="A14" s="35"/>
      <c r="B14" s="26">
        <v>3111</v>
      </c>
      <c r="D14" s="26" t="s">
        <v>409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74">
        <v>0</v>
      </c>
      <c r="Q14" s="74">
        <v>0</v>
      </c>
      <c r="R14" s="21">
        <f>SUM(E14:Q14)-P14</f>
        <v>0</v>
      </c>
      <c r="T14" s="21">
        <v>0</v>
      </c>
      <c r="U14" s="21">
        <f t="shared" ref="U14:U19" si="4">+R14-T14</f>
        <v>0</v>
      </c>
      <c r="V14" s="22" t="s">
        <v>410</v>
      </c>
    </row>
    <row r="15" spans="1:22" s="40" customFormat="1" ht="11.25" customHeight="1" outlineLevel="1">
      <c r="A15" s="36" t="s">
        <v>411</v>
      </c>
      <c r="B15" s="37"/>
      <c r="C15" s="37"/>
      <c r="D15" s="37"/>
      <c r="E15" s="38">
        <f t="shared" ref="E15:G15" si="5">SUM(E14)</f>
        <v>0</v>
      </c>
      <c r="F15" s="38">
        <f t="shared" si="5"/>
        <v>0</v>
      </c>
      <c r="G15" s="38">
        <f t="shared" si="5"/>
        <v>0</v>
      </c>
      <c r="H15" s="38">
        <f>SUM(H14)</f>
        <v>0</v>
      </c>
      <c r="I15" s="38">
        <f>SUM(I14)</f>
        <v>0</v>
      </c>
      <c r="J15" s="38">
        <f>SUM(J14)</f>
        <v>0</v>
      </c>
      <c r="K15" s="38">
        <f>SUM(K14)</f>
        <v>0</v>
      </c>
      <c r="L15" s="38">
        <f t="shared" ref="L15" si="6">SUM(L14)</f>
        <v>0</v>
      </c>
      <c r="M15" s="38">
        <f>SUM(M14)</f>
        <v>0</v>
      </c>
      <c r="N15" s="38">
        <f>SUM(N14)</f>
        <v>0</v>
      </c>
      <c r="O15" s="38">
        <f>SUM(O14)</f>
        <v>0</v>
      </c>
      <c r="P15" s="75">
        <f t="shared" ref="P15" si="7">SUM(P14)</f>
        <v>0</v>
      </c>
      <c r="Q15" s="75">
        <f>SUM(Q14)</f>
        <v>0</v>
      </c>
      <c r="R15" s="38">
        <f>SUM(R14)</f>
        <v>0</v>
      </c>
      <c r="T15" s="38">
        <v>0</v>
      </c>
      <c r="U15" s="38">
        <f>SUM(U14)</f>
        <v>0</v>
      </c>
    </row>
    <row r="16" spans="1:22" ht="11.25" customHeight="1" outlineLevel="2">
      <c r="A16" s="35"/>
      <c r="B16" s="26">
        <v>3151</v>
      </c>
      <c r="D16" s="26" t="s">
        <v>412</v>
      </c>
      <c r="P16" s="74"/>
      <c r="Q16" s="74"/>
      <c r="R16" s="21">
        <f t="shared" ref="R16:R19" si="8">SUM(E16:Q16)-P16</f>
        <v>0</v>
      </c>
      <c r="T16" s="21">
        <v>773</v>
      </c>
      <c r="U16" s="21">
        <f t="shared" si="4"/>
        <v>-773</v>
      </c>
      <c r="V16" s="22" t="s">
        <v>413</v>
      </c>
    </row>
    <row r="17" spans="1:36" ht="11.25" customHeight="1" outlineLevel="2">
      <c r="A17" s="35"/>
      <c r="B17" s="26">
        <v>4291</v>
      </c>
      <c r="D17" s="26" t="s">
        <v>414</v>
      </c>
      <c r="F17" s="21">
        <v>0</v>
      </c>
      <c r="H17" s="21">
        <v>19315.71</v>
      </c>
      <c r="I17" s="21">
        <v>37566.959999999999</v>
      </c>
      <c r="J17" s="21">
        <v>13173.87</v>
      </c>
      <c r="L17" s="21">
        <v>9146.82</v>
      </c>
      <c r="M17" s="21">
        <v>10564.53</v>
      </c>
      <c r="N17" s="21">
        <v>15015.48</v>
      </c>
      <c r="O17" s="21">
        <v>24369.54</v>
      </c>
      <c r="P17" s="74">
        <v>24678.73</v>
      </c>
      <c r="Q17" s="74">
        <v>0</v>
      </c>
      <c r="R17" s="21">
        <f t="shared" si="8"/>
        <v>129152.90999999999</v>
      </c>
      <c r="T17" s="21">
        <v>271466</v>
      </c>
      <c r="U17" s="21">
        <f t="shared" si="4"/>
        <v>-142313.09000000003</v>
      </c>
      <c r="V17" s="60"/>
      <c r="W17" s="61"/>
      <c r="X17" s="61"/>
      <c r="Y17" s="61"/>
      <c r="Z17" s="61"/>
      <c r="AA17" s="61"/>
    </row>
    <row r="18" spans="1:36" ht="11.25" customHeight="1" outlineLevel="2">
      <c r="A18" s="35"/>
      <c r="B18" s="26">
        <v>4292</v>
      </c>
      <c r="D18" s="26" t="s">
        <v>415</v>
      </c>
      <c r="H18" s="21">
        <v>2440.1999999999998</v>
      </c>
      <c r="I18" s="21">
        <v>6903.12</v>
      </c>
      <c r="J18" s="21">
        <v>2648.94</v>
      </c>
      <c r="L18" s="21">
        <v>1958.04</v>
      </c>
      <c r="M18" s="21">
        <v>2013.9</v>
      </c>
      <c r="N18" s="21">
        <v>3145.8</v>
      </c>
      <c r="O18" s="21">
        <v>6964.86</v>
      </c>
      <c r="P18" s="74">
        <v>5446.64</v>
      </c>
      <c r="Q18" s="74">
        <v>0</v>
      </c>
      <c r="R18" s="21">
        <f t="shared" si="8"/>
        <v>26074.86</v>
      </c>
      <c r="T18" s="21">
        <v>59913</v>
      </c>
      <c r="U18" s="21">
        <f t="shared" si="4"/>
        <v>-33838.14</v>
      </c>
      <c r="V18" s="60"/>
      <c r="W18" s="61"/>
      <c r="X18" s="61"/>
      <c r="Y18" s="61"/>
      <c r="Z18" s="61"/>
      <c r="AA18" s="61"/>
    </row>
    <row r="19" spans="1:36" ht="11.25" customHeight="1" outlineLevel="2">
      <c r="A19" s="35"/>
      <c r="B19" s="26">
        <v>4297</v>
      </c>
      <c r="D19" s="26" t="s">
        <v>416</v>
      </c>
      <c r="P19" s="74"/>
      <c r="Q19" s="74"/>
      <c r="R19" s="21">
        <f t="shared" si="8"/>
        <v>0</v>
      </c>
      <c r="U19" s="21">
        <f t="shared" si="4"/>
        <v>0</v>
      </c>
    </row>
    <row r="20" spans="1:36" s="40" customFormat="1" ht="11.25" customHeight="1" outlineLevel="1">
      <c r="A20" s="36" t="s">
        <v>417</v>
      </c>
      <c r="B20" s="37"/>
      <c r="C20" s="37"/>
      <c r="D20" s="37"/>
      <c r="E20" s="38">
        <f t="shared" ref="E20:R20" si="9">SUM(E16:E19)</f>
        <v>0</v>
      </c>
      <c r="F20" s="38">
        <f t="shared" si="9"/>
        <v>0</v>
      </c>
      <c r="G20" s="38">
        <f t="shared" si="9"/>
        <v>0</v>
      </c>
      <c r="H20" s="38">
        <f t="shared" si="9"/>
        <v>21755.91</v>
      </c>
      <c r="I20" s="38">
        <f t="shared" si="9"/>
        <v>44470.080000000002</v>
      </c>
      <c r="J20" s="38">
        <f t="shared" si="9"/>
        <v>15822.810000000001</v>
      </c>
      <c r="K20" s="38">
        <f t="shared" si="9"/>
        <v>0</v>
      </c>
      <c r="L20" s="38">
        <f>SUM(L16:L19)</f>
        <v>11104.86</v>
      </c>
      <c r="M20" s="38">
        <f>SUM(M16:M19)</f>
        <v>12578.43</v>
      </c>
      <c r="N20" s="38">
        <f>SUM(N16:N19)</f>
        <v>18161.28</v>
      </c>
      <c r="O20" s="38">
        <f>SUM(O16:O19)</f>
        <v>31334.400000000001</v>
      </c>
      <c r="P20" s="75">
        <f t="shared" si="9"/>
        <v>30125.37</v>
      </c>
      <c r="Q20" s="75">
        <f>SUM(Q16:Q19)</f>
        <v>0</v>
      </c>
      <c r="R20" s="38">
        <f t="shared" si="9"/>
        <v>155227.76999999999</v>
      </c>
      <c r="S20" s="39"/>
      <c r="T20" s="38">
        <f>SUM(T16:T19)</f>
        <v>332152</v>
      </c>
      <c r="U20" s="38">
        <f>SUM(U16:U19)</f>
        <v>-176924.23000000004</v>
      </c>
    </row>
    <row r="21" spans="1:36" ht="42.75" customHeight="1" outlineLevel="2">
      <c r="A21" s="35"/>
      <c r="B21" s="26">
        <v>1920</v>
      </c>
      <c r="D21" s="26" t="s">
        <v>418</v>
      </c>
      <c r="E21" s="21">
        <v>45000</v>
      </c>
      <c r="G21" s="21">
        <v>31759.55</v>
      </c>
      <c r="H21" s="21">
        <v>0</v>
      </c>
      <c r="I21" s="21">
        <v>3189.9</v>
      </c>
      <c r="J21" s="21">
        <v>8117.73</v>
      </c>
      <c r="K21" s="21">
        <v>1157.3800000000001</v>
      </c>
      <c r="L21" s="21">
        <v>921.91</v>
      </c>
      <c r="M21" s="21">
        <v>1797.87</v>
      </c>
      <c r="N21" s="21">
        <v>0</v>
      </c>
      <c r="P21" s="74">
        <f>48000+144000</f>
        <v>192000</v>
      </c>
      <c r="Q21" s="74">
        <f>1176.36+259000</f>
        <v>260176.36</v>
      </c>
      <c r="R21" s="21">
        <f t="shared" ref="R21:R22" si="10">SUM(E21:Q21)-P21</f>
        <v>352120.69999999995</v>
      </c>
      <c r="T21" s="21">
        <v>350000</v>
      </c>
      <c r="U21" s="21">
        <f>+R21-T21</f>
        <v>2120.6999999999534</v>
      </c>
      <c r="V21" s="62" t="s">
        <v>419</v>
      </c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</row>
    <row r="22" spans="1:36" ht="11.25" customHeight="1" outlineLevel="2">
      <c r="A22" s="35"/>
      <c r="B22" s="26">
        <v>1920</v>
      </c>
      <c r="D22" s="26" t="s">
        <v>420</v>
      </c>
      <c r="P22" s="74"/>
      <c r="Q22" s="74"/>
      <c r="R22" s="21">
        <f t="shared" si="10"/>
        <v>0</v>
      </c>
      <c r="U22" s="21">
        <f>+R22-T22</f>
        <v>0</v>
      </c>
      <c r="V22" s="60"/>
      <c r="W22" s="60"/>
      <c r="X22" s="60"/>
    </row>
    <row r="23" spans="1:36" s="40" customFormat="1" ht="11.25" customHeight="1" outlineLevel="1">
      <c r="A23" s="36" t="s">
        <v>421</v>
      </c>
      <c r="B23" s="37"/>
      <c r="C23" s="37"/>
      <c r="D23" s="37"/>
      <c r="E23" s="38">
        <f t="shared" ref="E23:G23" si="11">SUM(E21:E22)</f>
        <v>45000</v>
      </c>
      <c r="F23" s="38">
        <f t="shared" si="11"/>
        <v>0</v>
      </c>
      <c r="G23" s="38">
        <f t="shared" si="11"/>
        <v>31759.55</v>
      </c>
      <c r="H23" s="38">
        <f>SUM(H21:H22)</f>
        <v>0</v>
      </c>
      <c r="I23" s="38">
        <f>SUM(I21:I22)</f>
        <v>3189.9</v>
      </c>
      <c r="J23" s="38">
        <f>SUM(J21:J22)</f>
        <v>8117.73</v>
      </c>
      <c r="K23" s="38">
        <f>SUM(K21:K22)</f>
        <v>1157.3800000000001</v>
      </c>
      <c r="L23" s="38">
        <f t="shared" ref="L23" si="12">SUM(L21:L22)</f>
        <v>921.91</v>
      </c>
      <c r="M23" s="38">
        <f>SUM(M21:M22)</f>
        <v>1797.87</v>
      </c>
      <c r="N23" s="38">
        <f>SUM(N21:N22)</f>
        <v>0</v>
      </c>
      <c r="O23" s="38">
        <f>SUM(O21:O22)</f>
        <v>0</v>
      </c>
      <c r="P23" s="75">
        <f t="shared" ref="P23:R23" si="13">SUM(P21:P22)</f>
        <v>192000</v>
      </c>
      <c r="Q23" s="75">
        <f>SUM(Q21:Q22)</f>
        <v>260176.36</v>
      </c>
      <c r="R23" s="38">
        <f t="shared" si="13"/>
        <v>352120.69999999995</v>
      </c>
      <c r="S23" s="39"/>
      <c r="T23" s="38">
        <f>SUM(T21:T22)</f>
        <v>350000</v>
      </c>
      <c r="U23" s="38">
        <f>SUM(U21:U22)</f>
        <v>2120.6999999999534</v>
      </c>
    </row>
    <row r="24" spans="1:36" ht="11.25" customHeight="1" outlineLevel="2">
      <c r="A24" s="35"/>
      <c r="B24" s="26">
        <v>3217</v>
      </c>
      <c r="D24" s="26" t="s">
        <v>422</v>
      </c>
      <c r="P24" s="74"/>
      <c r="Q24" s="74"/>
      <c r="R24" s="21">
        <f t="shared" ref="R24:R41" si="14">SUM(E24:Q24)-P24</f>
        <v>0</v>
      </c>
      <c r="U24" s="21">
        <f>+R24-T24</f>
        <v>0</v>
      </c>
    </row>
    <row r="25" spans="1:36" ht="11.25" customHeight="1" outlineLevel="2">
      <c r="A25" s="35"/>
      <c r="B25" s="26">
        <v>3118</v>
      </c>
      <c r="D25" s="26" t="s">
        <v>423</v>
      </c>
      <c r="E25" s="21">
        <v>280000</v>
      </c>
      <c r="J25" s="21">
        <v>149800</v>
      </c>
      <c r="P25" s="74"/>
      <c r="Q25" s="74"/>
      <c r="R25" s="21">
        <f t="shared" si="14"/>
        <v>429800</v>
      </c>
      <c r="T25" s="21">
        <v>444108</v>
      </c>
      <c r="U25" s="21">
        <f t="shared" ref="U25:U41" si="15">+R25-T25</f>
        <v>-14308</v>
      </c>
      <c r="V25" s="60" t="s">
        <v>424</v>
      </c>
      <c r="W25" s="60"/>
      <c r="X25" s="60"/>
      <c r="Y25" s="60"/>
    </row>
    <row r="26" spans="1:36" ht="11.25" customHeight="1" outlineLevel="2">
      <c r="A26" s="35"/>
      <c r="B26" s="26">
        <v>3198</v>
      </c>
      <c r="D26" s="26" t="s">
        <v>425</v>
      </c>
      <c r="G26" s="21">
        <v>2459.04</v>
      </c>
      <c r="P26" s="74">
        <v>0</v>
      </c>
      <c r="Q26" s="74"/>
      <c r="R26" s="21">
        <f t="shared" si="14"/>
        <v>2459.04</v>
      </c>
      <c r="T26" s="21">
        <v>3426</v>
      </c>
      <c r="U26" s="21">
        <f t="shared" si="15"/>
        <v>-966.96</v>
      </c>
    </row>
    <row r="27" spans="1:36" ht="11.25" customHeight="1" outlineLevel="2">
      <c r="A27" s="35"/>
      <c r="B27" s="26">
        <v>3199</v>
      </c>
      <c r="D27" s="26" t="s">
        <v>426</v>
      </c>
      <c r="P27" s="74">
        <v>669.5</v>
      </c>
      <c r="Q27" s="74">
        <v>0</v>
      </c>
      <c r="R27" s="21">
        <f t="shared" si="14"/>
        <v>0</v>
      </c>
      <c r="T27" s="21">
        <v>670</v>
      </c>
      <c r="U27" s="21">
        <f t="shared" si="15"/>
        <v>-670</v>
      </c>
    </row>
    <row r="28" spans="1:36" ht="11.25" customHeight="1" outlineLevel="2">
      <c r="A28" s="35"/>
      <c r="B28" s="41">
        <v>3230</v>
      </c>
      <c r="D28" s="26" t="s">
        <v>427</v>
      </c>
      <c r="P28" s="74">
        <v>9171.1200000000008</v>
      </c>
      <c r="Q28" s="74">
        <f>14557.75-400</f>
        <v>14157.75</v>
      </c>
      <c r="R28" s="21">
        <f t="shared" si="14"/>
        <v>14157.750000000002</v>
      </c>
      <c r="T28" s="21">
        <v>9171</v>
      </c>
      <c r="U28" s="21">
        <f t="shared" si="15"/>
        <v>4986.7500000000018</v>
      </c>
    </row>
    <row r="29" spans="1:36" ht="11.25" customHeight="1" outlineLevel="2">
      <c r="A29" s="35"/>
      <c r="B29" s="26">
        <v>3271</v>
      </c>
      <c r="D29" s="26" t="s">
        <v>428</v>
      </c>
      <c r="P29" s="74"/>
      <c r="Q29" s="74"/>
      <c r="R29" s="21">
        <f t="shared" si="14"/>
        <v>0</v>
      </c>
      <c r="T29" s="21">
        <v>3593</v>
      </c>
      <c r="U29" s="21">
        <f t="shared" si="15"/>
        <v>-3593</v>
      </c>
    </row>
    <row r="30" spans="1:36" ht="11.25" customHeight="1" outlineLevel="2">
      <c r="A30" s="35"/>
      <c r="B30" s="26">
        <v>3293</v>
      </c>
      <c r="D30" s="26" t="s">
        <v>429</v>
      </c>
      <c r="M30" s="21">
        <v>12254.29</v>
      </c>
      <c r="P30" s="74"/>
      <c r="Q30" s="74"/>
      <c r="R30" s="21">
        <f t="shared" si="14"/>
        <v>12254.29</v>
      </c>
      <c r="T30" s="21">
        <v>12714</v>
      </c>
      <c r="U30" s="21">
        <f t="shared" si="15"/>
        <v>-459.70999999999913</v>
      </c>
      <c r="V30" s="22" t="s">
        <v>430</v>
      </c>
    </row>
    <row r="31" spans="1:36" ht="11.25" customHeight="1" outlineLevel="2">
      <c r="A31" s="35"/>
      <c r="B31" s="41" t="s">
        <v>431</v>
      </c>
      <c r="D31" s="26" t="s">
        <v>432</v>
      </c>
      <c r="P31" s="74">
        <v>0</v>
      </c>
      <c r="Q31" s="74"/>
      <c r="R31" s="21">
        <f t="shared" si="14"/>
        <v>0</v>
      </c>
      <c r="T31" s="21">
        <v>51504</v>
      </c>
      <c r="U31" s="21">
        <f t="shared" si="15"/>
        <v>-51504</v>
      </c>
    </row>
    <row r="32" spans="1:36" ht="11.25" customHeight="1" outlineLevel="2">
      <c r="A32" s="35"/>
      <c r="B32" s="41" t="s">
        <v>431</v>
      </c>
      <c r="D32" s="26" t="s">
        <v>433</v>
      </c>
      <c r="J32" s="21">
        <v>1029.3800000000001</v>
      </c>
      <c r="P32" s="74"/>
      <c r="Q32" s="74"/>
      <c r="R32" s="21">
        <f t="shared" si="14"/>
        <v>1029.3800000000001</v>
      </c>
      <c r="U32" s="21">
        <f t="shared" si="15"/>
        <v>1029.3800000000001</v>
      </c>
    </row>
    <row r="33" spans="1:22" ht="11.25" customHeight="1" outlineLevel="2">
      <c r="A33" s="35"/>
      <c r="B33" s="26">
        <v>3990</v>
      </c>
      <c r="D33" s="26" t="s">
        <v>434</v>
      </c>
      <c r="P33" s="74"/>
      <c r="Q33" s="74"/>
      <c r="R33" s="21">
        <f t="shared" si="14"/>
        <v>0</v>
      </c>
      <c r="T33" s="21">
        <v>63170</v>
      </c>
      <c r="U33" s="21">
        <f t="shared" si="15"/>
        <v>-63170</v>
      </c>
    </row>
    <row r="34" spans="1:22" ht="11.25" customHeight="1" outlineLevel="2">
      <c r="A34" s="35"/>
      <c r="B34" s="26">
        <v>1110</v>
      </c>
      <c r="D34" s="26" t="s">
        <v>435</v>
      </c>
      <c r="E34" s="21">
        <v>67497.429999999993</v>
      </c>
      <c r="J34" s="21">
        <v>63342.5</v>
      </c>
      <c r="P34" s="74"/>
      <c r="Q34" s="74">
        <v>67528.67</v>
      </c>
      <c r="R34" s="21">
        <f t="shared" si="14"/>
        <v>198368.59999999998</v>
      </c>
      <c r="U34" s="21">
        <f t="shared" si="15"/>
        <v>198368.59999999998</v>
      </c>
      <c r="V34" s="22" t="s">
        <v>436</v>
      </c>
    </row>
    <row r="35" spans="1:22" ht="11.25" customHeight="1" outlineLevel="2">
      <c r="A35" s="35"/>
      <c r="B35" s="26">
        <v>4597</v>
      </c>
      <c r="D35" s="26" t="s">
        <v>437</v>
      </c>
      <c r="P35" s="74">
        <v>2187.1799999999998</v>
      </c>
      <c r="Q35" s="74">
        <v>0</v>
      </c>
      <c r="R35" s="21">
        <f t="shared" si="14"/>
        <v>0</v>
      </c>
      <c r="T35" s="21">
        <v>24059</v>
      </c>
      <c r="U35" s="21">
        <f t="shared" si="15"/>
        <v>-24059</v>
      </c>
    </row>
    <row r="36" spans="1:22" ht="11.25" customHeight="1" outlineLevel="2">
      <c r="A36" s="35"/>
      <c r="B36" s="26">
        <v>4514</v>
      </c>
      <c r="D36" s="26" t="s">
        <v>438</v>
      </c>
      <c r="E36" s="21">
        <v>8798.66</v>
      </c>
      <c r="F36" s="21">
        <v>17650.509999999998</v>
      </c>
      <c r="G36" s="21">
        <v>2557.98</v>
      </c>
      <c r="J36" s="21">
        <v>43086.6</v>
      </c>
      <c r="K36" s="21">
        <v>41462.83</v>
      </c>
      <c r="L36" s="21">
        <v>8641.2199999999993</v>
      </c>
      <c r="M36" s="21">
        <v>55183.79</v>
      </c>
      <c r="N36" s="21">
        <v>4320.6099999999997</v>
      </c>
      <c r="O36" s="21">
        <v>12961.83</v>
      </c>
      <c r="P36" s="74">
        <f>30174-12962</f>
        <v>17212</v>
      </c>
      <c r="Q36" s="74">
        <v>22370.62</v>
      </c>
      <c r="R36" s="21">
        <f t="shared" si="14"/>
        <v>217034.64999999997</v>
      </c>
      <c r="T36" s="21">
        <v>267065</v>
      </c>
      <c r="U36" s="21">
        <f t="shared" si="15"/>
        <v>-50030.350000000035</v>
      </c>
      <c r="V36" s="22" t="s">
        <v>439</v>
      </c>
    </row>
    <row r="37" spans="1:22" ht="11.25" customHeight="1" outlineLevel="2">
      <c r="A37" s="35"/>
      <c r="B37" s="26">
        <v>4592</v>
      </c>
      <c r="D37" s="26" t="s">
        <v>440</v>
      </c>
      <c r="H37" s="21">
        <v>398.84</v>
      </c>
      <c r="J37" s="21">
        <v>900</v>
      </c>
      <c r="N37" s="21">
        <v>15026.11</v>
      </c>
      <c r="P37" s="74">
        <v>1818.18</v>
      </c>
      <c r="Q37" s="74">
        <v>0</v>
      </c>
      <c r="R37" s="21">
        <f t="shared" si="14"/>
        <v>16324.95</v>
      </c>
      <c r="T37" s="21">
        <v>20000</v>
      </c>
      <c r="U37" s="21">
        <f t="shared" si="15"/>
        <v>-3675.0499999999993</v>
      </c>
    </row>
    <row r="38" spans="1:22" ht="11.25" customHeight="1" outlineLevel="2">
      <c r="A38" s="35"/>
      <c r="B38" s="26">
        <v>4592</v>
      </c>
      <c r="D38" s="26" t="s">
        <v>441</v>
      </c>
      <c r="J38" s="21">
        <v>5967.34</v>
      </c>
      <c r="O38" s="21">
        <v>3780</v>
      </c>
      <c r="P38" s="74">
        <v>7391</v>
      </c>
      <c r="Q38" s="74">
        <v>0</v>
      </c>
      <c r="R38" s="21">
        <f t="shared" si="14"/>
        <v>9747.34</v>
      </c>
      <c r="T38" s="21">
        <v>50313</v>
      </c>
      <c r="U38" s="21">
        <f t="shared" si="15"/>
        <v>-40565.660000000003</v>
      </c>
    </row>
    <row r="39" spans="1:22" ht="11.25" customHeight="1" outlineLevel="2">
      <c r="A39" s="35"/>
      <c r="B39" s="26">
        <v>4223</v>
      </c>
      <c r="D39" s="26" t="s">
        <v>442</v>
      </c>
      <c r="E39" s="21">
        <v>16000.01</v>
      </c>
      <c r="F39" s="21">
        <v>5179.32</v>
      </c>
      <c r="G39" s="21">
        <v>5328.75</v>
      </c>
      <c r="H39" s="21">
        <v>1960.12</v>
      </c>
      <c r="I39" s="21">
        <v>7253.54</v>
      </c>
      <c r="J39" s="21">
        <v>6051.76</v>
      </c>
      <c r="K39" s="21">
        <v>7591.66</v>
      </c>
      <c r="L39" s="21">
        <v>3315.14</v>
      </c>
      <c r="P39" s="74">
        <v>4271.75</v>
      </c>
      <c r="Q39" s="74">
        <v>0</v>
      </c>
      <c r="R39" s="21">
        <f t="shared" si="14"/>
        <v>52680.3</v>
      </c>
      <c r="T39" s="21">
        <v>51261</v>
      </c>
      <c r="U39" s="21">
        <f t="shared" si="15"/>
        <v>1419.3000000000029</v>
      </c>
    </row>
    <row r="40" spans="1:22" ht="11.25" customHeight="1" outlineLevel="2">
      <c r="A40" s="35"/>
      <c r="B40" s="26">
        <v>4599</v>
      </c>
      <c r="D40" s="26" t="s">
        <v>443</v>
      </c>
      <c r="P40" s="74"/>
      <c r="Q40" s="74"/>
      <c r="R40" s="21">
        <f t="shared" si="14"/>
        <v>0</v>
      </c>
      <c r="U40" s="21">
        <f t="shared" si="15"/>
        <v>0</v>
      </c>
    </row>
    <row r="41" spans="1:22" ht="11.25" customHeight="1" outlineLevel="2">
      <c r="A41" s="35"/>
      <c r="B41" s="26">
        <v>4599</v>
      </c>
      <c r="D41" s="26" t="s">
        <v>444</v>
      </c>
      <c r="E41" s="21">
        <v>0</v>
      </c>
      <c r="F41" s="21">
        <v>40000</v>
      </c>
      <c r="H41" s="21">
        <v>111432.7</v>
      </c>
      <c r="J41" s="21">
        <v>88530.25</v>
      </c>
      <c r="O41" s="21">
        <v>191423.39</v>
      </c>
      <c r="P41" s="74">
        <v>45453.02</v>
      </c>
      <c r="Q41" s="74">
        <v>45453.02</v>
      </c>
      <c r="R41" s="21">
        <f t="shared" si="14"/>
        <v>476839.36000000004</v>
      </c>
      <c r="T41" s="21">
        <v>351000</v>
      </c>
      <c r="U41" s="21">
        <f t="shared" si="15"/>
        <v>125839.36000000004</v>
      </c>
      <c r="V41" s="22" t="s">
        <v>445</v>
      </c>
    </row>
    <row r="42" spans="1:22" s="40" customFormat="1" ht="11.25" customHeight="1" outlineLevel="1">
      <c r="A42" s="36" t="s">
        <v>446</v>
      </c>
      <c r="B42" s="37"/>
      <c r="C42" s="37"/>
      <c r="D42" s="37"/>
      <c r="E42" s="38">
        <f>SUM(E24:E41)</f>
        <v>372296.1</v>
      </c>
      <c r="F42" s="38">
        <f t="shared" ref="F42:L42" si="16">SUM(F24:F41)</f>
        <v>62829.83</v>
      </c>
      <c r="G42" s="38">
        <f t="shared" si="16"/>
        <v>10345.77</v>
      </c>
      <c r="H42" s="38">
        <f t="shared" si="16"/>
        <v>113791.66</v>
      </c>
      <c r="I42" s="38">
        <f t="shared" si="16"/>
        <v>7253.54</v>
      </c>
      <c r="J42" s="38">
        <f t="shared" si="16"/>
        <v>358707.83</v>
      </c>
      <c r="K42" s="38">
        <f t="shared" si="16"/>
        <v>49054.490000000005</v>
      </c>
      <c r="L42" s="38">
        <f t="shared" si="16"/>
        <v>11956.359999999999</v>
      </c>
      <c r="M42" s="38">
        <f>SUM(M24:M41)</f>
        <v>67438.080000000002</v>
      </c>
      <c r="N42" s="38">
        <f>SUM(N24:N41)</f>
        <v>19346.72</v>
      </c>
      <c r="O42" s="38">
        <f>SUM(O24:O41)</f>
        <v>208165.22000000003</v>
      </c>
      <c r="P42" s="75">
        <f t="shared" ref="P42" si="17">SUM(P24:P41)</f>
        <v>88173.75</v>
      </c>
      <c r="Q42" s="75">
        <f>SUM(Q24:Q41)</f>
        <v>149510.06</v>
      </c>
      <c r="R42" s="38">
        <f>SUM(R24:R41)</f>
        <v>1430695.66</v>
      </c>
      <c r="S42" s="39"/>
      <c r="T42" s="38">
        <f>SUM(T24:T41)</f>
        <v>1352054</v>
      </c>
      <c r="U42" s="38">
        <f>SUM(U24:U41)</f>
        <v>78641.659999999974</v>
      </c>
    </row>
    <row r="43" spans="1:22" ht="11.25" customHeight="1" outlineLevel="2">
      <c r="A43" s="35"/>
      <c r="B43" s="26">
        <v>1510</v>
      </c>
      <c r="D43" s="26" t="s">
        <v>447</v>
      </c>
      <c r="E43" s="21">
        <v>2980.54</v>
      </c>
      <c r="F43" s="21">
        <v>2673.56</v>
      </c>
      <c r="G43" s="21">
        <v>2579.34</v>
      </c>
      <c r="H43" s="21">
        <v>2006.25</v>
      </c>
      <c r="I43" s="21">
        <v>1707.67</v>
      </c>
      <c r="J43" s="21">
        <v>1792.95</v>
      </c>
      <c r="K43" s="21">
        <v>1685.07</v>
      </c>
      <c r="L43" s="21">
        <v>1546.71</v>
      </c>
      <c r="M43" s="21">
        <v>1615.36</v>
      </c>
      <c r="N43" s="21">
        <v>1495.27</v>
      </c>
      <c r="O43" s="21">
        <v>1502.17</v>
      </c>
      <c r="P43" s="74">
        <v>1428.08</v>
      </c>
      <c r="Q43" s="74">
        <v>1551.14</v>
      </c>
      <c r="R43" s="21">
        <f>SUM(E43:Q43)-P43</f>
        <v>23136.03</v>
      </c>
      <c r="T43" s="21">
        <v>17137</v>
      </c>
      <c r="U43" s="21">
        <f>+R43-T43</f>
        <v>5999.0299999999988</v>
      </c>
    </row>
    <row r="44" spans="1:22" s="40" customFormat="1" ht="11.25" customHeight="1" outlineLevel="1">
      <c r="A44" s="36" t="s">
        <v>447</v>
      </c>
      <c r="B44" s="37"/>
      <c r="C44" s="37"/>
      <c r="D44" s="37"/>
      <c r="E44" s="38">
        <f t="shared" ref="E44:G44" si="18">SUM(E43:E43)</f>
        <v>2980.54</v>
      </c>
      <c r="F44" s="38">
        <f t="shared" si="18"/>
        <v>2673.56</v>
      </c>
      <c r="G44" s="38">
        <f t="shared" si="18"/>
        <v>2579.34</v>
      </c>
      <c r="H44" s="38">
        <f>SUM(H43:H43)</f>
        <v>2006.25</v>
      </c>
      <c r="I44" s="38">
        <f>SUM(I43:I43)</f>
        <v>1707.67</v>
      </c>
      <c r="J44" s="38">
        <f>SUM(J43:J43)</f>
        <v>1792.95</v>
      </c>
      <c r="K44" s="38">
        <f>SUM(K43:K43)</f>
        <v>1685.07</v>
      </c>
      <c r="L44" s="38">
        <f t="shared" ref="L44" si="19">SUM(L43:L43)</f>
        <v>1546.71</v>
      </c>
      <c r="M44" s="38">
        <f>SUM(M43:M43)</f>
        <v>1615.36</v>
      </c>
      <c r="N44" s="38">
        <f>SUM(N43:N43)</f>
        <v>1495.27</v>
      </c>
      <c r="O44" s="38">
        <f>SUM(O43:O43)</f>
        <v>1502.17</v>
      </c>
      <c r="P44" s="75">
        <f t="shared" ref="P44:R44" si="20">SUM(P43:P43)</f>
        <v>1428.08</v>
      </c>
      <c r="Q44" s="75">
        <f>SUM(Q43:Q43)</f>
        <v>1551.14</v>
      </c>
      <c r="R44" s="38">
        <f t="shared" si="20"/>
        <v>23136.03</v>
      </c>
      <c r="S44" s="39"/>
      <c r="T44" s="38">
        <f>SUM(T43)</f>
        <v>17137</v>
      </c>
      <c r="U44" s="38">
        <f>SUM(U43)</f>
        <v>5999.0299999999988</v>
      </c>
    </row>
    <row r="45" spans="1:22" ht="11.25" customHeight="1" outlineLevel="2">
      <c r="A45" s="35"/>
      <c r="B45" s="26">
        <v>3910</v>
      </c>
      <c r="D45" s="26" t="s">
        <v>448</v>
      </c>
      <c r="P45" s="74"/>
      <c r="Q45" s="74"/>
      <c r="R45" s="21">
        <f t="shared" ref="R45:R49" si="21">SUM(E45:Q45)-P45</f>
        <v>0</v>
      </c>
      <c r="T45" s="21">
        <v>53686</v>
      </c>
      <c r="U45" s="21">
        <f t="shared" ref="U45:U49" si="22">+R45-T45</f>
        <v>-53686</v>
      </c>
      <c r="V45" s="22" t="s">
        <v>449</v>
      </c>
    </row>
    <row r="46" spans="1:22" ht="11.25" customHeight="1" outlineLevel="2">
      <c r="A46" s="35"/>
      <c r="B46" s="26">
        <v>1741</v>
      </c>
      <c r="D46" s="26" t="s">
        <v>450</v>
      </c>
      <c r="E46" s="21">
        <v>3568.03</v>
      </c>
      <c r="F46" s="21">
        <v>2163.63</v>
      </c>
      <c r="G46" s="21">
        <v>127.78</v>
      </c>
      <c r="H46" s="21">
        <v>68.89</v>
      </c>
      <c r="I46" s="21">
        <v>114.87</v>
      </c>
      <c r="J46" s="21">
        <v>2950.17</v>
      </c>
      <c r="K46" s="21">
        <v>1580</v>
      </c>
      <c r="L46" s="21">
        <v>2670.9</v>
      </c>
      <c r="M46" s="21">
        <v>8360.6299999999992</v>
      </c>
      <c r="N46" s="21">
        <v>5344.01</v>
      </c>
      <c r="O46" s="21">
        <v>6216.66</v>
      </c>
      <c r="P46" s="74">
        <v>2500</v>
      </c>
      <c r="Q46" s="74">
        <v>4381.55</v>
      </c>
      <c r="R46" s="21">
        <f t="shared" si="21"/>
        <v>37547.119999999995</v>
      </c>
      <c r="T46" s="21">
        <v>30000</v>
      </c>
      <c r="U46" s="21">
        <f t="shared" si="22"/>
        <v>7547.1199999999953</v>
      </c>
      <c r="V46" s="22" t="s">
        <v>451</v>
      </c>
    </row>
    <row r="47" spans="1:22" ht="11.25" customHeight="1" outlineLevel="2">
      <c r="A47" s="35"/>
      <c r="B47" s="26">
        <v>1999</v>
      </c>
      <c r="D47" s="26" t="s">
        <v>452</v>
      </c>
      <c r="P47" s="74"/>
      <c r="Q47" s="74"/>
      <c r="R47" s="21">
        <f t="shared" si="21"/>
        <v>0</v>
      </c>
      <c r="U47" s="21">
        <f t="shared" si="22"/>
        <v>0</v>
      </c>
    </row>
    <row r="48" spans="1:22" ht="45" customHeight="1" outlineLevel="2">
      <c r="A48" s="35"/>
      <c r="B48" s="26">
        <v>1999</v>
      </c>
      <c r="D48" s="26" t="s">
        <v>453</v>
      </c>
      <c r="E48" s="21">
        <v>250</v>
      </c>
      <c r="F48" s="21">
        <f>1220.5+100000</f>
        <v>101220.5</v>
      </c>
      <c r="G48" s="21">
        <f>10014.56-100000</f>
        <v>-89985.44</v>
      </c>
      <c r="H48" s="21">
        <f>287.1-161</f>
        <v>126.10000000000002</v>
      </c>
      <c r="I48" s="21">
        <f>751.2+661</f>
        <v>1412.2</v>
      </c>
      <c r="J48" s="21">
        <v>4112.75</v>
      </c>
      <c r="K48" s="21">
        <v>2075.46</v>
      </c>
      <c r="L48" s="21">
        <v>1033.17</v>
      </c>
      <c r="M48" s="21">
        <f>564.32+184.32</f>
        <v>748.6400000000001</v>
      </c>
      <c r="O48" s="21">
        <v>2423.02</v>
      </c>
      <c r="P48" s="74"/>
      <c r="Q48" s="74">
        <v>368.05</v>
      </c>
      <c r="R48" s="21">
        <f t="shared" si="21"/>
        <v>23784.449999999997</v>
      </c>
      <c r="T48" s="21">
        <v>0</v>
      </c>
      <c r="U48" s="21">
        <f t="shared" si="22"/>
        <v>23784.449999999997</v>
      </c>
      <c r="V48" s="81" t="s">
        <v>454</v>
      </c>
    </row>
    <row r="49" spans="1:22" ht="11.25" customHeight="1" outlineLevel="2">
      <c r="A49" s="35"/>
      <c r="B49" s="26">
        <v>1994</v>
      </c>
      <c r="D49" s="26" t="s">
        <v>455</v>
      </c>
      <c r="E49" s="21">
        <v>21389.71</v>
      </c>
      <c r="F49" s="21">
        <v>240</v>
      </c>
      <c r="G49" s="21">
        <v>0</v>
      </c>
      <c r="I49" s="21">
        <v>240000</v>
      </c>
      <c r="J49" s="21">
        <v>-240000</v>
      </c>
      <c r="P49" s="74">
        <v>0</v>
      </c>
      <c r="Q49" s="74"/>
      <c r="R49" s="21">
        <f t="shared" si="21"/>
        <v>21629.709999999992</v>
      </c>
      <c r="T49" s="21">
        <v>0</v>
      </c>
      <c r="U49" s="21">
        <f t="shared" si="22"/>
        <v>21629.709999999992</v>
      </c>
      <c r="V49" s="22" t="s">
        <v>456</v>
      </c>
    </row>
    <row r="50" spans="1:22" s="40" customFormat="1" ht="11.25" customHeight="1" outlineLevel="1">
      <c r="A50" s="36" t="s">
        <v>453</v>
      </c>
      <c r="B50" s="37"/>
      <c r="C50" s="37"/>
      <c r="D50" s="37"/>
      <c r="E50" s="38">
        <f t="shared" ref="E50:R50" si="23">SUM(E45:E49)</f>
        <v>25207.739999999998</v>
      </c>
      <c r="F50" s="38">
        <f t="shared" si="23"/>
        <v>103624.13</v>
      </c>
      <c r="G50" s="38">
        <f t="shared" si="23"/>
        <v>-89857.66</v>
      </c>
      <c r="H50" s="38">
        <f t="shared" si="23"/>
        <v>194.99</v>
      </c>
      <c r="I50" s="38">
        <f t="shared" si="23"/>
        <v>241527.07</v>
      </c>
      <c r="J50" s="38">
        <f t="shared" si="23"/>
        <v>-232937.08</v>
      </c>
      <c r="K50" s="38">
        <f t="shared" si="23"/>
        <v>3655.46</v>
      </c>
      <c r="L50" s="38">
        <f>SUM(L45:L49)</f>
        <v>3704.07</v>
      </c>
      <c r="M50" s="38">
        <f>SUM(M45:M49)</f>
        <v>9109.2699999999986</v>
      </c>
      <c r="N50" s="38">
        <f>SUM(N45:N49)</f>
        <v>5344.01</v>
      </c>
      <c r="O50" s="38">
        <f>SUM(O45:O49)</f>
        <v>8639.68</v>
      </c>
      <c r="P50" s="75">
        <f t="shared" si="23"/>
        <v>2500</v>
      </c>
      <c r="Q50" s="75">
        <f>SUM(Q45:Q49)</f>
        <v>4749.6000000000004</v>
      </c>
      <c r="R50" s="38">
        <f t="shared" si="23"/>
        <v>82961.279999999984</v>
      </c>
      <c r="S50" s="39"/>
      <c r="T50" s="38">
        <f>SUM(T45:T49)</f>
        <v>83686</v>
      </c>
      <c r="U50" s="38">
        <f>SUM(U45:U49)</f>
        <v>-724.72000000001572</v>
      </c>
    </row>
    <row r="51" spans="1:22" s="40" customFormat="1" ht="11.25" customHeight="1">
      <c r="A51" s="36" t="s">
        <v>112</v>
      </c>
      <c r="B51" s="37"/>
      <c r="C51" s="37"/>
      <c r="D51" s="37"/>
      <c r="E51" s="38">
        <f t="shared" ref="E51:R51" si="24">+E13+E20+E23+E42+E44+E50+E15</f>
        <v>736267.46</v>
      </c>
      <c r="F51" s="38">
        <f t="shared" si="24"/>
        <v>459910.60000000003</v>
      </c>
      <c r="G51" s="38">
        <f t="shared" si="24"/>
        <v>245610.08000000005</v>
      </c>
      <c r="H51" s="38">
        <f t="shared" si="24"/>
        <v>428531.89</v>
      </c>
      <c r="I51" s="38">
        <f t="shared" si="24"/>
        <v>586109.08000000007</v>
      </c>
      <c r="J51" s="38">
        <f t="shared" si="24"/>
        <v>385769.97000000009</v>
      </c>
      <c r="K51" s="38">
        <f t="shared" si="24"/>
        <v>225068.13000000003</v>
      </c>
      <c r="L51" s="38">
        <f>+L13+L20+L23+L42+L44+L50+L15</f>
        <v>208534.24</v>
      </c>
      <c r="M51" s="38">
        <f>+M13+M20+M23+M42+M44+M50+M15</f>
        <v>335672.36999999994</v>
      </c>
      <c r="N51" s="38">
        <f>+N13+N20+N23+N42+N44+N50+N15</f>
        <v>266889.34999999998</v>
      </c>
      <c r="O51" s="38">
        <f>+O13+O20+O23+O42+O44+O50+O15</f>
        <v>472183.53</v>
      </c>
      <c r="P51" s="75">
        <f t="shared" si="24"/>
        <v>598044.25999999989</v>
      </c>
      <c r="Q51" s="75">
        <f>+Q13+Q20+Q23+Q42+Q44+Q50+Q15</f>
        <v>702274.28</v>
      </c>
      <c r="R51" s="38">
        <f t="shared" si="24"/>
        <v>5052820.9800000004</v>
      </c>
      <c r="S51" s="39"/>
      <c r="T51" s="38">
        <f>+T13+T20+T23+T42+T44+T50+T15</f>
        <v>5224396</v>
      </c>
      <c r="U51" s="38">
        <f>+U13+U20+U23+U42+U44+U50+U15</f>
        <v>-171575.0199999999</v>
      </c>
      <c r="V51" s="77"/>
    </row>
    <row r="52" spans="1:22" s="40" customFormat="1" ht="11.25" customHeight="1">
      <c r="B52" s="42"/>
      <c r="C52" s="42"/>
      <c r="D52" s="42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76"/>
      <c r="Q52" s="76"/>
      <c r="R52" s="39"/>
      <c r="S52" s="39"/>
      <c r="T52" s="39"/>
      <c r="U52" s="39"/>
    </row>
    <row r="53" spans="1:22" ht="11.25" customHeight="1">
      <c r="A53" s="32" t="s">
        <v>457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74"/>
      <c r="Q53" s="87"/>
      <c r="R53" s="34"/>
      <c r="T53" s="34"/>
      <c r="U53" s="34"/>
    </row>
    <row r="54" spans="1:22" ht="11.25" customHeight="1" outlineLevel="2">
      <c r="A54" s="35"/>
      <c r="B54" s="26">
        <v>11300</v>
      </c>
      <c r="C54" s="26">
        <v>110</v>
      </c>
      <c r="D54" s="26" t="s">
        <v>458</v>
      </c>
      <c r="E54" s="21">
        <f>76654.87-13680</f>
        <v>62974.869999999995</v>
      </c>
      <c r="F54" s="21">
        <v>75074.179999999993</v>
      </c>
      <c r="G54" s="21">
        <f>74354.18+2800</f>
        <v>77154.179999999993</v>
      </c>
      <c r="H54" s="21">
        <v>74354.179999999993</v>
      </c>
      <c r="I54" s="21">
        <v>74354.179999999993</v>
      </c>
      <c r="J54" s="21">
        <f>-35230.04-41661.54-30210.45+16752+74426.1+49338.96+25172.12</f>
        <v>58587.150000000009</v>
      </c>
      <c r="K54" s="21">
        <f>57929.16+7355+7916.66</f>
        <v>73200.820000000007</v>
      </c>
      <c r="L54" s="21">
        <f>57816.5+7916.66+7355</f>
        <v>73088.160000000003</v>
      </c>
      <c r="M54" s="21">
        <f>57488.76+7917+7355</f>
        <v>72760.760000000009</v>
      </c>
      <c r="N54" s="21">
        <f>56262.62+8500+7355</f>
        <v>72117.62</v>
      </c>
      <c r="O54" s="21">
        <f>57929.16+7355+8500</f>
        <v>73784.160000000003</v>
      </c>
      <c r="P54" s="74">
        <v>76666.67</v>
      </c>
      <c r="Q54" s="74">
        <f>79288.15+8500+4897.05-6065.46</f>
        <v>86619.739999999991</v>
      </c>
      <c r="R54" s="21">
        <f t="shared" ref="R54:R58" si="25">SUM(E54:Q54)-P54</f>
        <v>874070</v>
      </c>
      <c r="T54" s="21">
        <v>920000</v>
      </c>
      <c r="U54" s="21">
        <f>+T54-R54</f>
        <v>45930</v>
      </c>
      <c r="V54" s="22" t="s">
        <v>459</v>
      </c>
    </row>
    <row r="55" spans="1:22" ht="11.25" customHeight="1" outlineLevel="2">
      <c r="A55" s="35"/>
      <c r="B55" s="26">
        <v>11300</v>
      </c>
      <c r="C55" s="26">
        <v>120</v>
      </c>
      <c r="D55" s="26" t="s">
        <v>460</v>
      </c>
      <c r="E55" s="21">
        <f>13038.46-7370+1256.5</f>
        <v>6924.9599999999991</v>
      </c>
      <c r="F55" s="21">
        <v>12375</v>
      </c>
      <c r="G55" s="21">
        <f>8625+1400</f>
        <v>10025</v>
      </c>
      <c r="H55" s="21">
        <v>8625</v>
      </c>
      <c r="I55" s="21">
        <f>2500+8625</f>
        <v>11125</v>
      </c>
      <c r="J55" s="21">
        <v>8213.4</v>
      </c>
      <c r="K55" s="21">
        <v>8226.92</v>
      </c>
      <c r="L55" s="21">
        <v>8625</v>
      </c>
      <c r="M55" s="21">
        <v>8432.68</v>
      </c>
      <c r="N55" s="21">
        <v>8419.24</v>
      </c>
      <c r="O55" s="21">
        <v>8625</v>
      </c>
      <c r="P55" s="74">
        <v>8083.33</v>
      </c>
      <c r="Q55" s="74">
        <v>8021.16</v>
      </c>
      <c r="R55" s="21">
        <f t="shared" si="25"/>
        <v>107638.36</v>
      </c>
      <c r="T55" s="21">
        <v>97000</v>
      </c>
      <c r="U55" s="21">
        <f t="shared" ref="U55:U58" si="26">+T55-R55</f>
        <v>-10638.36</v>
      </c>
      <c r="V55" s="22" t="s">
        <v>461</v>
      </c>
    </row>
    <row r="56" spans="1:22" ht="11.25" customHeight="1" outlineLevel="2">
      <c r="A56" s="35"/>
      <c r="B56" s="26" t="s">
        <v>462</v>
      </c>
      <c r="C56" s="26" t="s">
        <v>463</v>
      </c>
      <c r="D56" s="26" t="s">
        <v>464</v>
      </c>
      <c r="E56" s="21">
        <f>13680+7370+9020</f>
        <v>30070</v>
      </c>
      <c r="G56" s="21">
        <v>0</v>
      </c>
      <c r="P56" s="74">
        <v>62054</v>
      </c>
      <c r="Q56" s="74">
        <f>6065.46+443.14+217.49+2000+153+2500+191.25+2500+2000+153</f>
        <v>16223.34</v>
      </c>
      <c r="R56" s="21">
        <f t="shared" si="25"/>
        <v>46293.34</v>
      </c>
      <c r="T56" s="21">
        <v>93081</v>
      </c>
      <c r="U56" s="21">
        <f t="shared" si="26"/>
        <v>46787.66</v>
      </c>
      <c r="V56" s="22" t="s">
        <v>465</v>
      </c>
    </row>
    <row r="57" spans="1:22" ht="11.25" customHeight="1" outlineLevel="2">
      <c r="A57" s="35"/>
      <c r="B57" s="26">
        <v>12610</v>
      </c>
      <c r="C57" s="26">
        <v>110</v>
      </c>
      <c r="D57" s="26" t="s">
        <v>466</v>
      </c>
      <c r="E57" s="21">
        <f>7916.66+3504.38</f>
        <v>11421.04</v>
      </c>
      <c r="F57" s="21">
        <f>7916.66+3605</f>
        <v>11521.66</v>
      </c>
      <c r="G57" s="21">
        <f>7916.66+7355</f>
        <v>15271.66</v>
      </c>
      <c r="H57" s="21">
        <f>7916.66+7355</f>
        <v>15271.66</v>
      </c>
      <c r="I57" s="21">
        <f>7616.66+7177.56</f>
        <v>14794.220000000001</v>
      </c>
      <c r="J57" s="21">
        <f>30210.45-49338.96-25172.12-16752+7916.66+8027.56+4343</f>
        <v>-40765.410000000003</v>
      </c>
      <c r="K57" s="21">
        <f>2791.67+2791.67</f>
        <v>5583.34</v>
      </c>
      <c r="L57" s="21">
        <f>13500-7916.66-7355+7355</f>
        <v>5583.34</v>
      </c>
      <c r="M57" s="21">
        <v>5583</v>
      </c>
      <c r="N57" s="21">
        <v>5000</v>
      </c>
      <c r="O57" s="21">
        <v>5000</v>
      </c>
      <c r="P57" s="74">
        <v>5000</v>
      </c>
      <c r="Q57" s="74">
        <v>5000</v>
      </c>
      <c r="R57" s="21">
        <f t="shared" si="25"/>
        <v>59264.509999999995</v>
      </c>
      <c r="T57" s="21">
        <v>60000</v>
      </c>
      <c r="U57" s="21">
        <f t="shared" si="26"/>
        <v>735.49000000000524</v>
      </c>
      <c r="V57" s="22" t="s">
        <v>467</v>
      </c>
    </row>
    <row r="58" spans="1:22" ht="11.25" customHeight="1" outlineLevel="2">
      <c r="A58" s="35"/>
      <c r="B58" s="26" t="s">
        <v>468</v>
      </c>
      <c r="C58" s="26">
        <v>0</v>
      </c>
      <c r="D58" s="26" t="s">
        <v>469</v>
      </c>
      <c r="J58" s="21">
        <f>5734+29078</f>
        <v>34812</v>
      </c>
      <c r="K58" s="21">
        <v>200</v>
      </c>
      <c r="M58" s="21">
        <v>1975</v>
      </c>
      <c r="O58" s="21">
        <v>2500</v>
      </c>
      <c r="P58" s="74"/>
      <c r="Q58" s="74">
        <f>2475+1825</f>
        <v>4300</v>
      </c>
      <c r="R58" s="21">
        <f t="shared" si="25"/>
        <v>43787</v>
      </c>
      <c r="T58" s="21">
        <v>0</v>
      </c>
      <c r="U58" s="21">
        <f t="shared" si="26"/>
        <v>-43787</v>
      </c>
      <c r="V58" s="22" t="s">
        <v>470</v>
      </c>
    </row>
    <row r="59" spans="1:22" s="40" customFormat="1" ht="11.25" customHeight="1" outlineLevel="1">
      <c r="A59" s="43" t="s">
        <v>471</v>
      </c>
      <c r="B59" s="44"/>
      <c r="C59" s="44"/>
      <c r="D59" s="44"/>
      <c r="E59" s="38">
        <f t="shared" ref="E59:R59" si="27">SUM(E54:E58)</f>
        <v>111390.87</v>
      </c>
      <c r="F59" s="38">
        <f t="shared" si="27"/>
        <v>98970.84</v>
      </c>
      <c r="G59" s="38">
        <f t="shared" si="27"/>
        <v>102450.84</v>
      </c>
      <c r="H59" s="38">
        <f t="shared" si="27"/>
        <v>98250.84</v>
      </c>
      <c r="I59" s="38">
        <f t="shared" si="27"/>
        <v>100273.4</v>
      </c>
      <c r="J59" s="38">
        <f t="shared" si="27"/>
        <v>60847.14</v>
      </c>
      <c r="K59" s="38">
        <f t="shared" si="27"/>
        <v>87211.08</v>
      </c>
      <c r="L59" s="38">
        <f>SUM(L54:L58)</f>
        <v>87296.5</v>
      </c>
      <c r="M59" s="38">
        <f>SUM(M54:M58)</f>
        <v>88751.44</v>
      </c>
      <c r="N59" s="38">
        <f>SUM(N54:N58)</f>
        <v>85536.86</v>
      </c>
      <c r="O59" s="38">
        <f>SUM(O54:O58)</f>
        <v>89909.16</v>
      </c>
      <c r="P59" s="75">
        <f t="shared" si="27"/>
        <v>151804</v>
      </c>
      <c r="Q59" s="75">
        <f>SUM(Q54:Q58)</f>
        <v>120164.23999999999</v>
      </c>
      <c r="R59" s="38">
        <f t="shared" si="27"/>
        <v>1131053.21</v>
      </c>
      <c r="S59" s="39"/>
      <c r="T59" s="38">
        <f>SUM(T54:T58)</f>
        <v>1170081</v>
      </c>
      <c r="U59" s="38">
        <f>SUM(U54:U58)</f>
        <v>39027.790000000008</v>
      </c>
    </row>
    <row r="60" spans="1:22" ht="11.25" customHeight="1" outlineLevel="2">
      <c r="A60" s="35"/>
      <c r="B60" s="26" t="s">
        <v>468</v>
      </c>
      <c r="C60" s="26">
        <v>211</v>
      </c>
      <c r="D60" s="26" t="s">
        <v>472</v>
      </c>
      <c r="E60" s="21">
        <f>1972.83+262.26</f>
        <v>2235.09</v>
      </c>
      <c r="F60" s="21">
        <f>1479.83+269.94</f>
        <v>1749.77</v>
      </c>
      <c r="G60" s="21">
        <f>1201.25+606.54</f>
        <v>1807.79</v>
      </c>
      <c r="H60" s="21">
        <f>1201.25+548.52</f>
        <v>1749.77</v>
      </c>
      <c r="I60" s="21">
        <f>1373.6+-941.94</f>
        <v>431.65999999999985</v>
      </c>
      <c r="J60" s="21">
        <f>1627.5+831.59</f>
        <v>2459.09</v>
      </c>
      <c r="K60" s="21">
        <f>1130.21+588.59</f>
        <v>1718.8000000000002</v>
      </c>
      <c r="L60" s="21">
        <f>1160.68+473.84</f>
        <v>1634.52</v>
      </c>
      <c r="M60" s="21">
        <f>1176.56+550.34</f>
        <v>1726.9</v>
      </c>
      <c r="N60" s="21">
        <f>1144.93+176.98</f>
        <v>1321.91</v>
      </c>
      <c r="O60" s="21">
        <f>1160.68+446.92</f>
        <v>1607.6000000000001</v>
      </c>
      <c r="P60" s="74">
        <v>565.83000000000004</v>
      </c>
      <c r="Q60" s="74">
        <f>303.18+1204.37</f>
        <v>1507.55</v>
      </c>
      <c r="R60" s="21">
        <f t="shared" ref="R60:R64" si="28">SUM(E60:Q60)-P60</f>
        <v>19950.45</v>
      </c>
      <c r="T60" s="21">
        <v>6790</v>
      </c>
      <c r="U60" s="21">
        <f t="shared" ref="U60:U64" si="29">+T60-R60</f>
        <v>-13160.45</v>
      </c>
      <c r="V60" s="22" t="s">
        <v>473</v>
      </c>
    </row>
    <row r="61" spans="1:22" ht="11.25" customHeight="1" outlineLevel="2">
      <c r="A61" s="35"/>
      <c r="B61" s="26" t="s">
        <v>468</v>
      </c>
      <c r="C61" s="26">
        <v>212</v>
      </c>
      <c r="D61" s="26" t="s">
        <v>474</v>
      </c>
      <c r="E61" s="21">
        <f>6103.03+596.82</f>
        <v>6699.8499999999995</v>
      </c>
      <c r="F61" s="21">
        <f>4067.35+596.82</f>
        <v>4664.17</v>
      </c>
      <c r="G61" s="21">
        <f>5143.64+875.4</f>
        <v>6019.04</v>
      </c>
      <c r="H61" s="21">
        <f>4929.44+596.82</f>
        <v>5526.2599999999993</v>
      </c>
      <c r="I61" s="21">
        <f>4918.73+1999.5</f>
        <v>6918.23</v>
      </c>
      <c r="J61" s="21">
        <f>7016.57+737.99</f>
        <v>7754.5599999999995</v>
      </c>
      <c r="K61" s="21">
        <f>3711.84+1018</f>
        <v>4729.84</v>
      </c>
      <c r="L61" s="21">
        <f>3659.76+1018</f>
        <v>4677.76</v>
      </c>
      <c r="M61" s="21">
        <f>3760.39+1018</f>
        <v>4778.3899999999994</v>
      </c>
      <c r="N61" s="21">
        <f>3731.09+1324.86</f>
        <v>5055.95</v>
      </c>
      <c r="O61" s="21">
        <f>3696.54+1121.42</f>
        <v>4817.96</v>
      </c>
      <c r="P61" s="74">
        <v>6259.97</v>
      </c>
      <c r="Q61" s="74">
        <f>1087.98+5385.97-443.14</f>
        <v>6030.81</v>
      </c>
      <c r="R61" s="21">
        <f t="shared" si="28"/>
        <v>67672.819999999992</v>
      </c>
      <c r="T61" s="21">
        <v>75120</v>
      </c>
      <c r="U61" s="21">
        <f t="shared" si="29"/>
        <v>7447.1800000000076</v>
      </c>
      <c r="V61" s="22" t="s">
        <v>475</v>
      </c>
    </row>
    <row r="62" spans="1:22" ht="11.25" customHeight="1" outlineLevel="2">
      <c r="A62" s="35"/>
      <c r="B62" s="26" t="s">
        <v>468</v>
      </c>
      <c r="C62" s="26">
        <v>222</v>
      </c>
      <c r="D62" s="26" t="s">
        <v>476</v>
      </c>
      <c r="E62" s="21">
        <f>+-2696.72+-191.26+1654.48</f>
        <v>-1233.4999999999995</v>
      </c>
      <c r="F62" s="21">
        <f>-2847.98-191.26+8573.83+996.38+953.27-1321.98+824.83</f>
        <v>6987.09</v>
      </c>
      <c r="G62" s="21">
        <f>+-2739.61-299.63+13548.58</f>
        <v>10509.34</v>
      </c>
      <c r="H62" s="21">
        <f>-2739.61-299.63+13001.01+1071.28</f>
        <v>11033.050000000001</v>
      </c>
      <c r="I62" s="21">
        <f>+-3126.67-1270.32+13007.34+1071.78</f>
        <v>9682.130000000001</v>
      </c>
      <c r="J62" s="21">
        <f>-3126.67-1270.32+13007.34+1071.78-1107.57</f>
        <v>8574.5600000000013</v>
      </c>
      <c r="K62" s="21">
        <f>-2677.78-1354.36+13012.34+1071.78</f>
        <v>10051.980000000001</v>
      </c>
      <c r="L62" s="21">
        <f>+-2677.78+-1354.36+13010.51+1071.78</f>
        <v>10050.15</v>
      </c>
      <c r="M62" s="21">
        <f>-2677.78-1354.36+13010.1+1071.78</f>
        <v>10049.74</v>
      </c>
      <c r="N62" s="21">
        <f>+-2677.78-1354.36+13000.51+1071.78</f>
        <v>10040.15</v>
      </c>
      <c r="O62" s="21">
        <f>-2677.72-1354.36+0.01+13010.51+1071.78</f>
        <v>10050.220000000001</v>
      </c>
      <c r="P62" s="74">
        <v>8615.76</v>
      </c>
      <c r="Q62" s="74">
        <f>-1312.33-2536.12+12015.54+1071.78</f>
        <v>9238.8700000000008</v>
      </c>
      <c r="R62" s="21">
        <f t="shared" si="28"/>
        <v>105033.78</v>
      </c>
      <c r="T62" s="21">
        <v>103389</v>
      </c>
      <c r="U62" s="21">
        <f t="shared" si="29"/>
        <v>-1644.7799999999988</v>
      </c>
      <c r="V62" s="22" t="s">
        <v>477</v>
      </c>
    </row>
    <row r="63" spans="1:22" ht="11.25" customHeight="1" outlineLevel="2">
      <c r="A63" s="35"/>
      <c r="B63" s="26" t="s">
        <v>468</v>
      </c>
      <c r="C63" s="26">
        <v>230</v>
      </c>
      <c r="D63" s="26" t="s">
        <v>478</v>
      </c>
      <c r="E63" s="21">
        <v>6659</v>
      </c>
      <c r="F63" s="21">
        <v>3517.23</v>
      </c>
      <c r="G63" s="21">
        <v>1592.1</v>
      </c>
      <c r="H63" s="21">
        <v>441.74</v>
      </c>
      <c r="I63" s="21">
        <v>256.82</v>
      </c>
      <c r="J63" s="21">
        <v>124.7</v>
      </c>
      <c r="K63" s="21">
        <v>4982.37</v>
      </c>
      <c r="L63" s="21">
        <v>3956.36</v>
      </c>
      <c r="M63" s="21">
        <v>1008.23</v>
      </c>
      <c r="N63" s="21">
        <v>285.31</v>
      </c>
      <c r="O63" s="21">
        <v>12.19</v>
      </c>
      <c r="P63" s="74">
        <v>986.58</v>
      </c>
      <c r="Q63" s="74">
        <f>238.99-217.49</f>
        <v>21.5</v>
      </c>
      <c r="R63" s="21">
        <f t="shared" si="28"/>
        <v>22857.55</v>
      </c>
      <c r="T63" s="21">
        <v>11839</v>
      </c>
      <c r="U63" s="21">
        <f t="shared" si="29"/>
        <v>-11018.55</v>
      </c>
      <c r="V63" s="22" t="s">
        <v>479</v>
      </c>
    </row>
    <row r="64" spans="1:22" ht="11.25" customHeight="1" outlineLevel="2">
      <c r="A64" s="35"/>
      <c r="B64" s="26" t="s">
        <v>468</v>
      </c>
      <c r="C64" s="26">
        <v>290</v>
      </c>
      <c r="D64" s="26" t="s">
        <v>480</v>
      </c>
      <c r="E64" s="21">
        <v>0</v>
      </c>
      <c r="F64" s="21">
        <v>0</v>
      </c>
      <c r="H64" s="21">
        <v>-1300.8599999999999</v>
      </c>
      <c r="I64" s="21">
        <v>1300.8599999999999</v>
      </c>
      <c r="J64" s="21">
        <v>-1016.22</v>
      </c>
      <c r="K64" s="21">
        <v>2601.7199999999998</v>
      </c>
      <c r="L64" s="21">
        <f>-368.14-508.11</f>
        <v>-876.25</v>
      </c>
      <c r="M64" s="21">
        <f>749.83+70+1563.89+1950.82+180.53-1016.22+3276.8</f>
        <v>6775.65</v>
      </c>
      <c r="N64" s="21">
        <v>368.14</v>
      </c>
      <c r="O64" s="21">
        <v>-1016.22</v>
      </c>
      <c r="P64" s="74">
        <f>8346+16692</f>
        <v>25038</v>
      </c>
      <c r="Q64" s="74">
        <f>878.75+137.47</f>
        <v>1016.22</v>
      </c>
      <c r="R64" s="21">
        <f t="shared" si="28"/>
        <v>7853.0400000000009</v>
      </c>
      <c r="T64" s="21">
        <v>100146</v>
      </c>
      <c r="U64" s="21">
        <f t="shared" si="29"/>
        <v>92292.959999999992</v>
      </c>
      <c r="V64" s="22" t="s">
        <v>481</v>
      </c>
    </row>
    <row r="65" spans="1:28" s="40" customFormat="1" ht="11.25" customHeight="1" outlineLevel="1">
      <c r="A65" s="43" t="s">
        <v>482</v>
      </c>
      <c r="B65" s="44"/>
      <c r="C65" s="44"/>
      <c r="D65" s="44"/>
      <c r="E65" s="38">
        <f t="shared" ref="E65:R65" si="30">SUM(E60:E64)</f>
        <v>14360.439999999999</v>
      </c>
      <c r="F65" s="38">
        <f t="shared" si="30"/>
        <v>16918.260000000002</v>
      </c>
      <c r="G65" s="38">
        <f t="shared" si="30"/>
        <v>19928.269999999997</v>
      </c>
      <c r="H65" s="38">
        <f t="shared" si="30"/>
        <v>17449.960000000003</v>
      </c>
      <c r="I65" s="38">
        <f t="shared" si="30"/>
        <v>18589.7</v>
      </c>
      <c r="J65" s="38">
        <f t="shared" si="30"/>
        <v>17896.689999999999</v>
      </c>
      <c r="K65" s="38">
        <f t="shared" si="30"/>
        <v>24084.710000000003</v>
      </c>
      <c r="L65" s="38">
        <f>SUM(L60:L64)</f>
        <v>19442.54</v>
      </c>
      <c r="M65" s="38">
        <f>SUM(M60:M64)</f>
        <v>24338.909999999996</v>
      </c>
      <c r="N65" s="38">
        <f>SUM(N60:N64)</f>
        <v>17071.46</v>
      </c>
      <c r="O65" s="38">
        <f>SUM(O60:O64)</f>
        <v>15471.750000000002</v>
      </c>
      <c r="P65" s="75">
        <f t="shared" si="30"/>
        <v>41466.14</v>
      </c>
      <c r="Q65" s="75">
        <f>SUM(Q60:Q64)</f>
        <v>17814.950000000004</v>
      </c>
      <c r="R65" s="38">
        <f t="shared" si="30"/>
        <v>223367.63999999998</v>
      </c>
      <c r="S65" s="39"/>
      <c r="T65" s="38">
        <f>SUM(T60:T64)</f>
        <v>297284</v>
      </c>
      <c r="U65" s="38">
        <f>SUM(U60:U64)</f>
        <v>73916.36</v>
      </c>
    </row>
    <row r="66" spans="1:28" ht="11.25" customHeight="1" outlineLevel="2">
      <c r="A66" s="35"/>
      <c r="B66" s="26" t="s">
        <v>468</v>
      </c>
      <c r="C66" s="26">
        <v>611</v>
      </c>
      <c r="D66" s="26" t="s">
        <v>483</v>
      </c>
      <c r="E66" s="21">
        <v>457.36</v>
      </c>
      <c r="F66" s="21">
        <v>4070.99</v>
      </c>
      <c r="G66" s="21">
        <v>264</v>
      </c>
      <c r="H66" s="21">
        <v>2550.92</v>
      </c>
      <c r="I66" s="21">
        <v>5773.85</v>
      </c>
      <c r="J66" s="21">
        <v>15582.27</v>
      </c>
      <c r="K66" s="21">
        <f>75.78+5853.5</f>
        <v>5929.28</v>
      </c>
      <c r="L66" s="21">
        <v>5562.6</v>
      </c>
      <c r="M66" s="21">
        <v>972.92</v>
      </c>
      <c r="N66" s="21">
        <v>1284.28</v>
      </c>
      <c r="O66" s="21">
        <v>2553.31</v>
      </c>
      <c r="P66" s="74">
        <v>417</v>
      </c>
      <c r="Q66" s="74">
        <v>1663.14</v>
      </c>
      <c r="R66" s="21">
        <f t="shared" ref="R66:R69" si="31">SUM(E66:Q66)-P66</f>
        <v>46664.919999999991</v>
      </c>
      <c r="T66" s="21">
        <v>65000</v>
      </c>
      <c r="U66" s="21">
        <f>+T66-R66</f>
        <v>18335.080000000009</v>
      </c>
      <c r="V66" s="60" t="s">
        <v>484</v>
      </c>
      <c r="W66" s="60"/>
      <c r="X66" s="60"/>
      <c r="Y66" s="60"/>
      <c r="Z66" s="60"/>
      <c r="AA66" s="60"/>
      <c r="AB66" s="60"/>
    </row>
    <row r="67" spans="1:28" ht="11.25" customHeight="1" outlineLevel="2">
      <c r="A67" s="35"/>
      <c r="B67" s="26" t="s">
        <v>468</v>
      </c>
      <c r="C67" s="26">
        <v>630</v>
      </c>
      <c r="D67" s="26" t="s">
        <v>485</v>
      </c>
      <c r="E67" s="21">
        <f>10834.11+5849.24</f>
        <v>16683.349999999999</v>
      </c>
      <c r="F67" s="21">
        <v>6019</v>
      </c>
      <c r="G67" s="21">
        <f>13925.75+5067.56</f>
        <v>18993.310000000001</v>
      </c>
      <c r="H67" s="21">
        <v>3215.2</v>
      </c>
      <c r="I67" s="21">
        <v>3750</v>
      </c>
      <c r="J67" s="21">
        <v>3750</v>
      </c>
      <c r="K67" s="21">
        <v>1875</v>
      </c>
      <c r="L67" s="21">
        <v>1156.3</v>
      </c>
      <c r="M67" s="21">
        <v>6175.72</v>
      </c>
      <c r="N67" s="21">
        <v>0</v>
      </c>
      <c r="P67" s="74">
        <v>1333</v>
      </c>
      <c r="Q67" s="74">
        <f>+-273.33+5174.68</f>
        <v>4901.3500000000004</v>
      </c>
      <c r="R67" s="21">
        <f t="shared" si="31"/>
        <v>66519.23000000001</v>
      </c>
      <c r="T67" s="21">
        <v>100000</v>
      </c>
      <c r="U67" s="21">
        <f t="shared" ref="U67:U69" si="32">+T67-R67</f>
        <v>33480.76999999999</v>
      </c>
      <c r="V67" s="22" t="s">
        <v>486</v>
      </c>
      <c r="W67" s="60"/>
      <c r="X67" s="60"/>
      <c r="Y67" s="60"/>
    </row>
    <row r="68" spans="1:28" ht="11.25" customHeight="1" outlineLevel="2">
      <c r="A68" s="35"/>
      <c r="B68" s="26" t="s">
        <v>468</v>
      </c>
      <c r="C68" s="26">
        <v>655</v>
      </c>
      <c r="D68" s="26" t="s">
        <v>487</v>
      </c>
      <c r="E68" s="21">
        <v>0</v>
      </c>
      <c r="G68" s="21">
        <v>0</v>
      </c>
      <c r="I68" s="21">
        <v>233.97</v>
      </c>
      <c r="J68" s="21">
        <v>57</v>
      </c>
      <c r="M68" s="21">
        <v>119.97</v>
      </c>
      <c r="P68" s="74"/>
      <c r="Q68" s="74"/>
      <c r="R68" s="21">
        <f t="shared" si="31"/>
        <v>410.94000000000005</v>
      </c>
      <c r="U68" s="21">
        <f t="shared" si="32"/>
        <v>-410.94000000000005</v>
      </c>
    </row>
    <row r="69" spans="1:28" ht="11.25" customHeight="1" outlineLevel="2">
      <c r="A69" s="35"/>
      <c r="B69" s="26" t="s">
        <v>468</v>
      </c>
      <c r="C69" s="26">
        <v>656</v>
      </c>
      <c r="D69" s="26" t="s">
        <v>488</v>
      </c>
      <c r="E69" s="21">
        <f>18476.79+83024.35</f>
        <v>101501.14000000001</v>
      </c>
      <c r="F69" s="21">
        <f>5864.78+11151.83+115</f>
        <v>17131.61</v>
      </c>
      <c r="G69" s="21">
        <f>8487.5+959.78</f>
        <v>9447.2800000000007</v>
      </c>
      <c r="H69" s="21">
        <v>3150</v>
      </c>
      <c r="I69" s="21">
        <v>388.79</v>
      </c>
      <c r="J69" s="21">
        <f>223.79+15057.6</f>
        <v>15281.390000000001</v>
      </c>
      <c r="K69" s="21">
        <v>1667.26</v>
      </c>
      <c r="L69" s="21">
        <v>6825</v>
      </c>
      <c r="M69" s="21">
        <v>0</v>
      </c>
      <c r="P69" s="74">
        <f>10417+20834</f>
        <v>31251</v>
      </c>
      <c r="Q69" s="74">
        <v>610.01</v>
      </c>
      <c r="R69" s="21">
        <f t="shared" si="31"/>
        <v>156002.48000000007</v>
      </c>
      <c r="T69" s="21">
        <v>125000</v>
      </c>
      <c r="U69" s="21">
        <f t="shared" si="32"/>
        <v>-31002.480000000069</v>
      </c>
      <c r="V69" s="22" t="s">
        <v>489</v>
      </c>
    </row>
    <row r="70" spans="1:28" s="40" customFormat="1" ht="11.25" customHeight="1" outlineLevel="1">
      <c r="A70" s="43" t="s">
        <v>490</v>
      </c>
      <c r="B70" s="44"/>
      <c r="C70" s="44"/>
      <c r="D70" s="44"/>
      <c r="E70" s="38">
        <f t="shared" ref="E70:R70" si="33">SUM(E66:E69)</f>
        <v>118641.85</v>
      </c>
      <c r="F70" s="38">
        <f t="shared" si="33"/>
        <v>27221.599999999999</v>
      </c>
      <c r="G70" s="38">
        <f t="shared" si="33"/>
        <v>28704.590000000004</v>
      </c>
      <c r="H70" s="38">
        <f t="shared" si="33"/>
        <v>8916.119999999999</v>
      </c>
      <c r="I70" s="38">
        <f t="shared" si="33"/>
        <v>10146.61</v>
      </c>
      <c r="J70" s="38">
        <f t="shared" si="33"/>
        <v>34670.660000000003</v>
      </c>
      <c r="K70" s="38">
        <f t="shared" si="33"/>
        <v>9471.5399999999991</v>
      </c>
      <c r="L70" s="38">
        <f>SUM(L66:L69)</f>
        <v>13543.900000000001</v>
      </c>
      <c r="M70" s="38">
        <f>SUM(M66:M69)</f>
        <v>7268.6100000000006</v>
      </c>
      <c r="N70" s="38">
        <f>SUM(N66:N69)</f>
        <v>1284.28</v>
      </c>
      <c r="O70" s="38">
        <f>SUM(O66:O69)</f>
        <v>2553.31</v>
      </c>
      <c r="P70" s="75">
        <f t="shared" si="33"/>
        <v>33001</v>
      </c>
      <c r="Q70" s="75">
        <f>SUM(Q66:Q69)</f>
        <v>7174.5000000000009</v>
      </c>
      <c r="R70" s="38">
        <f t="shared" si="33"/>
        <v>269597.57000000007</v>
      </c>
      <c r="S70" s="39"/>
      <c r="T70" s="38">
        <f>SUM(T66:T69)</f>
        <v>290000</v>
      </c>
      <c r="U70" s="38">
        <f>SUM(U66:U69)</f>
        <v>20402.429999999928</v>
      </c>
    </row>
    <row r="71" spans="1:28" ht="11.25" customHeight="1" outlineLevel="2">
      <c r="A71" s="35"/>
      <c r="B71" s="26" t="s">
        <v>468</v>
      </c>
      <c r="C71" s="26">
        <v>130</v>
      </c>
      <c r="D71" s="26" t="s">
        <v>491</v>
      </c>
      <c r="F71" s="21">
        <v>600</v>
      </c>
      <c r="P71" s="74"/>
      <c r="Q71" s="74">
        <v>105</v>
      </c>
      <c r="R71" s="21">
        <f t="shared" ref="R71:R78" si="34">SUM(E71:Q71)-P71</f>
        <v>705</v>
      </c>
      <c r="U71" s="21">
        <f t="shared" ref="U71:U78" si="35">+T71-R71</f>
        <v>-705</v>
      </c>
    </row>
    <row r="72" spans="1:28" ht="11.25" customHeight="1" outlineLevel="2">
      <c r="A72" s="35"/>
      <c r="B72" s="26" t="s">
        <v>468</v>
      </c>
      <c r="C72" s="26">
        <v>311</v>
      </c>
      <c r="D72" s="26" t="s">
        <v>492</v>
      </c>
      <c r="P72" s="74"/>
      <c r="Q72" s="74"/>
      <c r="R72" s="21">
        <f t="shared" si="34"/>
        <v>0</v>
      </c>
      <c r="U72" s="21">
        <f t="shared" si="35"/>
        <v>0</v>
      </c>
    </row>
    <row r="73" spans="1:28" ht="36" customHeight="1" outlineLevel="2">
      <c r="B73" s="26">
        <v>17100</v>
      </c>
      <c r="C73" s="26">
        <v>319</v>
      </c>
      <c r="D73" s="26" t="s">
        <v>493</v>
      </c>
      <c r="E73" s="21">
        <v>287968.75</v>
      </c>
      <c r="F73" s="21">
        <v>1500</v>
      </c>
      <c r="G73" s="21">
        <v>0</v>
      </c>
      <c r="H73" s="21">
        <v>0</v>
      </c>
      <c r="I73" s="21">
        <v>23668.75</v>
      </c>
      <c r="K73" s="21">
        <v>16012.5</v>
      </c>
      <c r="L73" s="21">
        <v>3704</v>
      </c>
      <c r="M73" s="21">
        <v>0</v>
      </c>
      <c r="P73" s="74">
        <v>0</v>
      </c>
      <c r="Q73" s="74">
        <v>2204</v>
      </c>
      <c r="R73" s="21">
        <f t="shared" si="34"/>
        <v>335058</v>
      </c>
      <c r="T73" s="21">
        <v>250000</v>
      </c>
      <c r="U73" s="21">
        <f t="shared" si="35"/>
        <v>-85058</v>
      </c>
      <c r="V73" s="81" t="s">
        <v>494</v>
      </c>
    </row>
    <row r="74" spans="1:28" ht="25.5" customHeight="1" outlineLevel="2">
      <c r="A74" s="35"/>
      <c r="B74" s="26">
        <v>11300</v>
      </c>
      <c r="C74" s="26">
        <v>319</v>
      </c>
      <c r="D74" s="26" t="s">
        <v>495</v>
      </c>
      <c r="E74" s="21">
        <f>33383.25-3959.5-12875-400</f>
        <v>16148.75</v>
      </c>
      <c r="F74" s="21">
        <f>9000+1380+11.25+666.5</f>
        <v>11057.75</v>
      </c>
      <c r="G74" s="21">
        <v>2375</v>
      </c>
      <c r="H74" s="21">
        <v>2525</v>
      </c>
      <c r="I74" s="21">
        <v>650.55999999999995</v>
      </c>
      <c r="J74" s="21">
        <f>24530.42-300-1600</f>
        <v>22630.42</v>
      </c>
      <c r="K74" s="21">
        <v>2400</v>
      </c>
      <c r="L74" s="21">
        <f>8700-800-1600</f>
        <v>6300</v>
      </c>
      <c r="M74" s="21">
        <v>3125</v>
      </c>
      <c r="N74" s="21">
        <v>4931.25</v>
      </c>
      <c r="O74" s="21">
        <v>5807.75</v>
      </c>
      <c r="P74" s="74">
        <v>6250</v>
      </c>
      <c r="Q74" s="74">
        <f>1283.88+725+375+15000+250-250+1905+800+0</f>
        <v>20088.88</v>
      </c>
      <c r="R74" s="21">
        <f t="shared" si="34"/>
        <v>98040.36</v>
      </c>
      <c r="T74" s="21">
        <v>75000</v>
      </c>
      <c r="U74" s="21">
        <f t="shared" si="35"/>
        <v>-23040.36</v>
      </c>
      <c r="V74" s="81" t="s">
        <v>496</v>
      </c>
    </row>
    <row r="75" spans="1:28" ht="11.25" customHeight="1" outlineLevel="2">
      <c r="A75" s="35"/>
      <c r="B75" s="26">
        <v>11300</v>
      </c>
      <c r="C75" s="26">
        <v>319</v>
      </c>
      <c r="D75" s="26" t="s">
        <v>497</v>
      </c>
      <c r="F75" s="21">
        <f>764.5+800</f>
        <v>1564.5</v>
      </c>
      <c r="G75" s="21">
        <v>800</v>
      </c>
      <c r="J75" s="21">
        <f>1600+1000</f>
        <v>2600</v>
      </c>
      <c r="L75" s="21">
        <f>800+1600</f>
        <v>2400</v>
      </c>
      <c r="M75" s="21">
        <v>1000</v>
      </c>
      <c r="N75" s="21">
        <v>1000</v>
      </c>
      <c r="P75" s="74"/>
      <c r="Q75" s="74"/>
      <c r="R75" s="21">
        <f t="shared" si="34"/>
        <v>9364.5</v>
      </c>
      <c r="T75" s="21">
        <v>0</v>
      </c>
      <c r="U75" s="21">
        <f t="shared" si="35"/>
        <v>-9364.5</v>
      </c>
      <c r="V75" s="81"/>
    </row>
    <row r="76" spans="1:28" ht="11.25" customHeight="1" outlineLevel="2">
      <c r="A76" s="35"/>
      <c r="B76" s="26">
        <v>11300</v>
      </c>
      <c r="C76" s="26">
        <v>319</v>
      </c>
      <c r="D76" s="26" t="s">
        <v>498</v>
      </c>
      <c r="F76" s="21">
        <f>6426.26+3313</f>
        <v>9739.26</v>
      </c>
      <c r="G76" s="21">
        <v>2074</v>
      </c>
      <c r="H76" s="21">
        <v>4437.8</v>
      </c>
      <c r="I76" s="21">
        <v>4547.5</v>
      </c>
      <c r="J76" s="21">
        <f>2518+300</f>
        <v>2818</v>
      </c>
      <c r="K76" s="21">
        <v>3490.5</v>
      </c>
      <c r="L76" s="21">
        <v>2614.25</v>
      </c>
      <c r="M76" s="21">
        <v>2057.25</v>
      </c>
      <c r="N76" s="21">
        <v>0</v>
      </c>
      <c r="P76" s="74"/>
      <c r="Q76" s="74">
        <f>2658.25+64.25</f>
        <v>2722.5</v>
      </c>
      <c r="R76" s="21">
        <f t="shared" si="34"/>
        <v>34501.06</v>
      </c>
      <c r="T76" s="21">
        <v>0</v>
      </c>
      <c r="U76" s="21">
        <f t="shared" si="35"/>
        <v>-34501.06</v>
      </c>
      <c r="V76" s="81"/>
    </row>
    <row r="77" spans="1:28" ht="11.25" customHeight="1" outlineLevel="2">
      <c r="A77" s="35"/>
      <c r="B77" s="26">
        <v>11300</v>
      </c>
      <c r="C77" s="26">
        <v>319</v>
      </c>
      <c r="D77" s="26" t="s">
        <v>499</v>
      </c>
      <c r="E77" s="21">
        <f>3959.5+400+12875</f>
        <v>17234.5</v>
      </c>
      <c r="P77" s="74"/>
      <c r="Q77" s="74"/>
      <c r="R77" s="21">
        <f t="shared" si="34"/>
        <v>17234.5</v>
      </c>
      <c r="U77" s="21">
        <f t="shared" si="35"/>
        <v>-17234.5</v>
      </c>
      <c r="V77" s="22" t="s">
        <v>500</v>
      </c>
    </row>
    <row r="78" spans="1:28" ht="22.5" customHeight="1" outlineLevel="2">
      <c r="A78" s="35"/>
      <c r="B78" s="26">
        <v>12610</v>
      </c>
      <c r="C78" s="26">
        <v>319</v>
      </c>
      <c r="D78" s="26" t="s">
        <v>501</v>
      </c>
      <c r="E78" s="21">
        <v>0</v>
      </c>
      <c r="F78" s="21">
        <v>0</v>
      </c>
      <c r="G78" s="21">
        <v>5333.33</v>
      </c>
      <c r="H78" s="21">
        <v>2580</v>
      </c>
      <c r="I78" s="21">
        <v>12793.33</v>
      </c>
      <c r="J78" s="21">
        <v>11863.86</v>
      </c>
      <c r="K78" s="21">
        <v>8666.66</v>
      </c>
      <c r="L78" s="21">
        <v>192</v>
      </c>
      <c r="M78" s="21">
        <v>9013.33</v>
      </c>
      <c r="N78" s="21">
        <v>6105.53</v>
      </c>
      <c r="O78" s="21">
        <v>5772.53</v>
      </c>
      <c r="P78" s="74">
        <v>2500</v>
      </c>
      <c r="Q78" s="74">
        <v>8861.33</v>
      </c>
      <c r="R78" s="21">
        <f t="shared" si="34"/>
        <v>71181.899999999994</v>
      </c>
      <c r="T78" s="21">
        <v>30000</v>
      </c>
      <c r="U78" s="21">
        <f t="shared" si="35"/>
        <v>-41181.899999999994</v>
      </c>
      <c r="V78" s="81" t="s">
        <v>502</v>
      </c>
    </row>
    <row r="79" spans="1:28" s="40" customFormat="1" ht="11.25" customHeight="1" outlineLevel="1">
      <c r="A79" s="43" t="s">
        <v>503</v>
      </c>
      <c r="B79" s="44"/>
      <c r="C79" s="44"/>
      <c r="D79" s="44"/>
      <c r="E79" s="38">
        <f t="shared" ref="E79:R79" si="36">SUM(E71:E78)</f>
        <v>321352</v>
      </c>
      <c r="F79" s="38">
        <f t="shared" si="36"/>
        <v>24461.510000000002</v>
      </c>
      <c r="G79" s="38">
        <f t="shared" si="36"/>
        <v>10582.33</v>
      </c>
      <c r="H79" s="38">
        <f t="shared" si="36"/>
        <v>9542.7999999999993</v>
      </c>
      <c r="I79" s="38">
        <f t="shared" si="36"/>
        <v>41660.14</v>
      </c>
      <c r="J79" s="38">
        <f t="shared" si="36"/>
        <v>39912.28</v>
      </c>
      <c r="K79" s="38">
        <f t="shared" si="36"/>
        <v>30569.66</v>
      </c>
      <c r="L79" s="38">
        <f>SUM(L71:L78)</f>
        <v>15210.25</v>
      </c>
      <c r="M79" s="38">
        <f>SUM(M71:M78)</f>
        <v>15195.58</v>
      </c>
      <c r="N79" s="38">
        <f>SUM(N71:N78)</f>
        <v>12036.779999999999</v>
      </c>
      <c r="O79" s="38">
        <f>SUM(O71:O78)</f>
        <v>11580.279999999999</v>
      </c>
      <c r="P79" s="75">
        <f t="shared" si="36"/>
        <v>8750</v>
      </c>
      <c r="Q79" s="75">
        <f>SUM(Q71:Q78)</f>
        <v>33981.71</v>
      </c>
      <c r="R79" s="38">
        <f t="shared" si="36"/>
        <v>566085.31999999995</v>
      </c>
      <c r="S79" s="39"/>
      <c r="T79" s="38">
        <f>SUM(T71:T78)</f>
        <v>355000</v>
      </c>
      <c r="U79" s="38">
        <f>SUM(U71:U78)</f>
        <v>-211085.31999999998</v>
      </c>
    </row>
    <row r="80" spans="1:28" ht="11.25" customHeight="1" outlineLevel="2">
      <c r="A80" s="35"/>
      <c r="B80" s="26">
        <v>22130</v>
      </c>
      <c r="C80" s="26">
        <v>580</v>
      </c>
      <c r="D80" s="26" t="s">
        <v>504</v>
      </c>
      <c r="E80" s="21">
        <v>1496.68</v>
      </c>
      <c r="P80" s="74"/>
      <c r="Q80" s="74">
        <v>0</v>
      </c>
      <c r="R80" s="21">
        <f t="shared" ref="R80:R83" si="37">SUM(E80:Q80)-P80</f>
        <v>1496.68</v>
      </c>
      <c r="U80" s="21">
        <f>+T80-R80</f>
        <v>-1496.68</v>
      </c>
      <c r="V80" s="22" t="s">
        <v>505</v>
      </c>
    </row>
    <row r="81" spans="1:22" ht="11.25" customHeight="1" outlineLevel="2">
      <c r="A81" s="35"/>
      <c r="B81" s="26">
        <v>22130</v>
      </c>
      <c r="C81" s="26">
        <v>611</v>
      </c>
      <c r="D81" s="26" t="s">
        <v>506</v>
      </c>
      <c r="K81" s="21">
        <v>45.09</v>
      </c>
      <c r="L81" s="21">
        <v>78.37</v>
      </c>
      <c r="P81" s="74"/>
      <c r="Q81" s="74"/>
      <c r="R81" s="21">
        <f t="shared" si="37"/>
        <v>123.46000000000001</v>
      </c>
      <c r="U81" s="21">
        <f>+T81-R81</f>
        <v>-123.46000000000001</v>
      </c>
      <c r="V81" s="22" t="s">
        <v>507</v>
      </c>
    </row>
    <row r="82" spans="1:22" ht="11.25" customHeight="1" outlineLevel="2">
      <c r="A82" s="35"/>
      <c r="B82" s="26">
        <v>22130</v>
      </c>
      <c r="C82" s="26">
        <v>614</v>
      </c>
      <c r="D82" s="26" t="s">
        <v>508</v>
      </c>
      <c r="K82" s="21">
        <v>51.9</v>
      </c>
      <c r="L82" s="21">
        <v>158.97999999999999</v>
      </c>
      <c r="P82" s="74"/>
      <c r="Q82" s="74"/>
      <c r="R82" s="21">
        <f t="shared" si="37"/>
        <v>210.88</v>
      </c>
      <c r="U82" s="21">
        <f>+T82-R82</f>
        <v>-210.88</v>
      </c>
      <c r="V82" s="22" t="s">
        <v>509</v>
      </c>
    </row>
    <row r="83" spans="1:22" ht="11.25" customHeight="1" outlineLevel="2">
      <c r="A83" s="35"/>
      <c r="B83" s="26">
        <v>22130</v>
      </c>
      <c r="C83" s="26">
        <v>312</v>
      </c>
      <c r="D83" s="26" t="s">
        <v>510</v>
      </c>
      <c r="E83" s="21">
        <v>1498</v>
      </c>
      <c r="F83" s="21">
        <v>7632.63</v>
      </c>
      <c r="G83" s="21">
        <v>1631.88</v>
      </c>
      <c r="H83" s="21">
        <v>-4544.63</v>
      </c>
      <c r="I83" s="21">
        <v>956.49</v>
      </c>
      <c r="M83" s="21">
        <v>100</v>
      </c>
      <c r="P83" s="74"/>
      <c r="Q83" s="74"/>
      <c r="R83" s="21">
        <f t="shared" si="37"/>
        <v>7274.3700000000017</v>
      </c>
      <c r="T83" s="21">
        <v>40000</v>
      </c>
      <c r="U83" s="21">
        <f>+T83-R83</f>
        <v>32725.629999999997</v>
      </c>
      <c r="V83" s="22" t="s">
        <v>511</v>
      </c>
    </row>
    <row r="84" spans="1:22" s="40" customFormat="1" ht="11.25" customHeight="1" outlineLevel="1">
      <c r="A84" s="43" t="s">
        <v>512</v>
      </c>
      <c r="B84" s="44"/>
      <c r="C84" s="44"/>
      <c r="D84" s="44"/>
      <c r="E84" s="38">
        <f t="shared" ref="E84:P84" si="38">SUM(E80:E83)</f>
        <v>2994.6800000000003</v>
      </c>
      <c r="F84" s="38">
        <f t="shared" si="38"/>
        <v>7632.63</v>
      </c>
      <c r="G84" s="38">
        <f t="shared" si="38"/>
        <v>1631.88</v>
      </c>
      <c r="H84" s="38">
        <f t="shared" si="38"/>
        <v>-4544.63</v>
      </c>
      <c r="I84" s="38">
        <f t="shared" si="38"/>
        <v>956.49</v>
      </c>
      <c r="J84" s="38">
        <f t="shared" si="38"/>
        <v>0</v>
      </c>
      <c r="K84" s="38">
        <f t="shared" si="38"/>
        <v>96.990000000000009</v>
      </c>
      <c r="L84" s="38">
        <f>SUM(L80:L83)</f>
        <v>237.35</v>
      </c>
      <c r="M84" s="38">
        <f>SUM(M80:M83)</f>
        <v>100</v>
      </c>
      <c r="N84" s="38">
        <f>SUM(N80:N83)</f>
        <v>0</v>
      </c>
      <c r="O84" s="38">
        <f>SUM(O80:O83)</f>
        <v>0</v>
      </c>
      <c r="P84" s="75">
        <f t="shared" si="38"/>
        <v>0</v>
      </c>
      <c r="Q84" s="75">
        <f>SUM(Q80:Q83)</f>
        <v>0</v>
      </c>
      <c r="R84" s="38">
        <f t="shared" ref="R84" si="39">SUM(R80:R83)</f>
        <v>9105.3900000000012</v>
      </c>
      <c r="S84" s="39"/>
      <c r="T84" s="38">
        <f>SUM(T80:T83)</f>
        <v>40000</v>
      </c>
      <c r="U84" s="38">
        <f>SUM(U80:U83)</f>
        <v>30894.609999999997</v>
      </c>
    </row>
    <row r="85" spans="1:22" ht="11.25" customHeight="1" outlineLevel="2">
      <c r="A85" s="35"/>
      <c r="B85" s="26" t="s">
        <v>468</v>
      </c>
      <c r="C85" s="26">
        <v>311</v>
      </c>
      <c r="D85" s="26" t="s">
        <v>513</v>
      </c>
      <c r="G85" s="21">
        <v>650</v>
      </c>
      <c r="I85" s="21">
        <v>3194.8</v>
      </c>
      <c r="J85" s="21">
        <v>526.32000000000005</v>
      </c>
      <c r="P85" s="74"/>
      <c r="Q85" s="74"/>
      <c r="R85" s="21">
        <f t="shared" ref="R85:R97" si="40">SUM(E85:Q85)-P85</f>
        <v>4371.12</v>
      </c>
      <c r="U85" s="21">
        <f>+T85-R85</f>
        <v>-4371.12</v>
      </c>
      <c r="V85" s="22" t="s">
        <v>514</v>
      </c>
    </row>
    <row r="86" spans="1:22" ht="11.25" customHeight="1" outlineLevel="2">
      <c r="A86" s="35"/>
      <c r="B86" s="26" t="s">
        <v>515</v>
      </c>
      <c r="C86" s="26">
        <v>311</v>
      </c>
      <c r="D86" s="26" t="s">
        <v>516</v>
      </c>
      <c r="E86" s="21">
        <v>1724.5</v>
      </c>
      <c r="F86" s="21">
        <v>0</v>
      </c>
      <c r="P86" s="74"/>
      <c r="Q86" s="74"/>
      <c r="R86" s="21">
        <f t="shared" si="40"/>
        <v>1724.5</v>
      </c>
      <c r="U86" s="21">
        <f t="shared" ref="U86:U97" si="41">+T86-R86</f>
        <v>-1724.5</v>
      </c>
    </row>
    <row r="87" spans="1:22" ht="11.25" customHeight="1" outlineLevel="2">
      <c r="A87" s="35"/>
      <c r="B87" s="26" t="s">
        <v>468</v>
      </c>
      <c r="C87" s="26">
        <v>614</v>
      </c>
      <c r="D87" s="26" t="s">
        <v>508</v>
      </c>
      <c r="P87" s="74"/>
      <c r="Q87" s="74"/>
      <c r="R87" s="21">
        <f t="shared" si="40"/>
        <v>0</v>
      </c>
      <c r="U87" s="21">
        <f t="shared" si="41"/>
        <v>0</v>
      </c>
      <c r="V87" s="22" t="s">
        <v>517</v>
      </c>
    </row>
    <row r="88" spans="1:22" ht="11.25" customHeight="1" outlineLevel="2">
      <c r="A88" s="35"/>
      <c r="B88" s="26" t="s">
        <v>468</v>
      </c>
      <c r="C88" s="26">
        <v>660</v>
      </c>
      <c r="D88" s="26" t="s">
        <v>518</v>
      </c>
      <c r="M88" s="21">
        <v>136.43</v>
      </c>
      <c r="N88" s="21">
        <v>5100</v>
      </c>
      <c r="P88" s="74">
        <v>231.33</v>
      </c>
      <c r="Q88" s="74">
        <v>0</v>
      </c>
      <c r="R88" s="21">
        <f t="shared" si="40"/>
        <v>5236.43</v>
      </c>
      <c r="T88" s="21">
        <v>2776</v>
      </c>
      <c r="U88" s="21">
        <f t="shared" si="41"/>
        <v>-2460.4300000000003</v>
      </c>
      <c r="V88" s="22" t="s">
        <v>519</v>
      </c>
    </row>
    <row r="89" spans="1:22" ht="11.25" customHeight="1" outlineLevel="2">
      <c r="A89" s="35"/>
      <c r="B89" s="26">
        <v>11300</v>
      </c>
      <c r="C89" s="26">
        <v>311</v>
      </c>
      <c r="D89" s="26" t="s">
        <v>520</v>
      </c>
      <c r="F89" s="21">
        <f>570.28+1352.4</f>
        <v>1922.68</v>
      </c>
      <c r="H89" s="21">
        <v>562.5</v>
      </c>
      <c r="J89" s="21">
        <v>875.54</v>
      </c>
      <c r="K89" s="21">
        <v>1116.71</v>
      </c>
      <c r="L89" s="21">
        <f>2535.93+34336.36+14132</f>
        <v>51004.29</v>
      </c>
      <c r="M89" s="21">
        <f>5390.29+478.44+123.69+423.85</f>
        <v>6416.2699999999995</v>
      </c>
      <c r="N89" s="21">
        <f>22494.26+1012.5+3712.47+128.49+353.36</f>
        <v>27701.08</v>
      </c>
      <c r="O89" s="21">
        <v>1243.53</v>
      </c>
      <c r="P89" s="74">
        <f>14583.33+14583.33-1243.53</f>
        <v>27923.13</v>
      </c>
      <c r="Q89" s="74">
        <f>9042.67+1012.5+-26.3+168</f>
        <v>10196.870000000001</v>
      </c>
      <c r="R89" s="21">
        <f t="shared" si="40"/>
        <v>101039.47</v>
      </c>
      <c r="T89" s="21">
        <v>175000</v>
      </c>
      <c r="U89" s="21">
        <f t="shared" si="41"/>
        <v>73960.53</v>
      </c>
      <c r="V89" s="22" t="s">
        <v>521</v>
      </c>
    </row>
    <row r="90" spans="1:22" ht="11.25" customHeight="1" outlineLevel="2">
      <c r="A90" s="35"/>
      <c r="B90" s="26">
        <v>11300</v>
      </c>
      <c r="C90" s="26">
        <v>311</v>
      </c>
      <c r="D90" s="26" t="s">
        <v>522</v>
      </c>
      <c r="F90" s="21">
        <v>0</v>
      </c>
      <c r="I90" s="21">
        <v>405.95</v>
      </c>
      <c r="J90" s="21">
        <v>41.58</v>
      </c>
      <c r="L90" s="21">
        <v>455.83</v>
      </c>
      <c r="M90" s="21">
        <v>1034.5</v>
      </c>
      <c r="O90" s="21">
        <v>124.78</v>
      </c>
      <c r="P90" s="74">
        <v>2890.33</v>
      </c>
      <c r="Q90" s="74">
        <v>588.92999999999995</v>
      </c>
      <c r="R90" s="21">
        <f t="shared" si="40"/>
        <v>2651.5699999999997</v>
      </c>
      <c r="T90" s="21">
        <v>34684</v>
      </c>
      <c r="U90" s="21">
        <f t="shared" si="41"/>
        <v>32032.43</v>
      </c>
      <c r="V90" s="22" t="s">
        <v>522</v>
      </c>
    </row>
    <row r="91" spans="1:22" ht="11.25" customHeight="1" outlineLevel="2">
      <c r="A91" s="35"/>
      <c r="B91" s="26">
        <v>11300</v>
      </c>
      <c r="C91" s="26">
        <v>311</v>
      </c>
      <c r="D91" s="26" t="s">
        <v>523</v>
      </c>
      <c r="J91" s="21">
        <v>336.76</v>
      </c>
      <c r="L91" s="21">
        <v>50.75</v>
      </c>
      <c r="P91" s="74"/>
      <c r="Q91" s="74"/>
      <c r="R91" s="21">
        <f t="shared" si="40"/>
        <v>387.51</v>
      </c>
      <c r="U91" s="21">
        <f t="shared" si="41"/>
        <v>-387.51</v>
      </c>
      <c r="V91" s="22" t="s">
        <v>523</v>
      </c>
    </row>
    <row r="92" spans="1:22" ht="11.25" customHeight="1" outlineLevel="2">
      <c r="A92" s="35"/>
      <c r="B92" s="26">
        <v>11300</v>
      </c>
      <c r="C92" s="26">
        <v>311</v>
      </c>
      <c r="D92" s="26" t="s">
        <v>524</v>
      </c>
      <c r="J92" s="21">
        <v>5019.34</v>
      </c>
      <c r="K92" s="21">
        <v>9112.2800000000007</v>
      </c>
      <c r="L92" s="21">
        <v>-14132</v>
      </c>
      <c r="P92" s="74"/>
      <c r="Q92" s="74"/>
      <c r="R92" s="21">
        <f t="shared" si="40"/>
        <v>-0.37999999999919964</v>
      </c>
      <c r="U92" s="21">
        <f t="shared" si="41"/>
        <v>0.37999999999919964</v>
      </c>
      <c r="V92" s="22" t="s">
        <v>525</v>
      </c>
    </row>
    <row r="93" spans="1:22" ht="11.25" customHeight="1" outlineLevel="2">
      <c r="A93" s="35"/>
      <c r="B93" s="26">
        <v>11300</v>
      </c>
      <c r="C93" s="26">
        <v>311</v>
      </c>
      <c r="D93" s="26" t="s">
        <v>526</v>
      </c>
      <c r="J93" s="21">
        <v>18.29</v>
      </c>
      <c r="L93" s="21">
        <v>88.55</v>
      </c>
      <c r="P93" s="74"/>
      <c r="Q93" s="74"/>
      <c r="R93" s="21">
        <f t="shared" si="40"/>
        <v>106.84</v>
      </c>
      <c r="U93" s="21">
        <f t="shared" si="41"/>
        <v>-106.84</v>
      </c>
      <c r="V93" s="22" t="s">
        <v>526</v>
      </c>
    </row>
    <row r="94" spans="1:22" ht="11.25" customHeight="1" outlineLevel="2">
      <c r="A94" s="35"/>
      <c r="B94" s="26" t="s">
        <v>468</v>
      </c>
      <c r="C94" s="26">
        <v>519</v>
      </c>
      <c r="D94" s="26" t="s">
        <v>527</v>
      </c>
      <c r="P94" s="74"/>
      <c r="Q94" s="74"/>
      <c r="R94" s="21">
        <f t="shared" si="40"/>
        <v>0</v>
      </c>
      <c r="U94" s="21">
        <f t="shared" si="41"/>
        <v>0</v>
      </c>
      <c r="V94" s="22" t="s">
        <v>528</v>
      </c>
    </row>
    <row r="95" spans="1:22" ht="11.25" customHeight="1" outlineLevel="2">
      <c r="A95" s="35"/>
      <c r="B95" s="26" t="s">
        <v>468</v>
      </c>
      <c r="C95" s="26">
        <v>519</v>
      </c>
      <c r="D95" s="26" t="s">
        <v>529</v>
      </c>
      <c r="P95" s="74"/>
      <c r="Q95" s="74"/>
      <c r="R95" s="21">
        <f t="shared" si="40"/>
        <v>0</v>
      </c>
      <c r="U95" s="21">
        <f t="shared" si="41"/>
        <v>0</v>
      </c>
      <c r="V95" s="22" t="s">
        <v>530</v>
      </c>
    </row>
    <row r="96" spans="1:22" ht="11.25" customHeight="1" outlineLevel="2">
      <c r="A96" s="35"/>
      <c r="B96" s="26" t="s">
        <v>468</v>
      </c>
      <c r="C96" s="26">
        <v>580</v>
      </c>
      <c r="D96" s="26" t="s">
        <v>504</v>
      </c>
      <c r="P96" s="74"/>
      <c r="Q96" s="74"/>
      <c r="R96" s="21">
        <f t="shared" si="40"/>
        <v>0</v>
      </c>
      <c r="U96" s="21">
        <f t="shared" si="41"/>
        <v>0</v>
      </c>
    </row>
    <row r="97" spans="1:22" ht="11.25" customHeight="1" outlineLevel="2">
      <c r="A97" s="35"/>
      <c r="B97" s="26" t="s">
        <v>468</v>
      </c>
      <c r="C97" s="26">
        <v>810</v>
      </c>
      <c r="D97" s="26" t="s">
        <v>531</v>
      </c>
      <c r="L97" s="21">
        <v>400</v>
      </c>
      <c r="P97" s="74"/>
      <c r="Q97" s="74"/>
      <c r="R97" s="21">
        <f t="shared" si="40"/>
        <v>400</v>
      </c>
      <c r="U97" s="21">
        <f t="shared" si="41"/>
        <v>-400</v>
      </c>
    </row>
    <row r="98" spans="1:22" s="40" customFormat="1" ht="11.25" customHeight="1" outlineLevel="1">
      <c r="A98" s="43" t="s">
        <v>532</v>
      </c>
      <c r="B98" s="44"/>
      <c r="C98" s="44"/>
      <c r="D98" s="44"/>
      <c r="E98" s="38">
        <f t="shared" ref="E98:R98" si="42">SUM(E85:E97)</f>
        <v>1724.5</v>
      </c>
      <c r="F98" s="38">
        <f t="shared" si="42"/>
        <v>1922.68</v>
      </c>
      <c r="G98" s="38">
        <f t="shared" si="42"/>
        <v>650</v>
      </c>
      <c r="H98" s="38">
        <f t="shared" si="42"/>
        <v>562.5</v>
      </c>
      <c r="I98" s="38">
        <f t="shared" si="42"/>
        <v>3600.75</v>
      </c>
      <c r="J98" s="38">
        <f t="shared" si="42"/>
        <v>6817.83</v>
      </c>
      <c r="K98" s="38">
        <f t="shared" si="42"/>
        <v>10228.990000000002</v>
      </c>
      <c r="L98" s="38">
        <f>SUM(L85:L97)</f>
        <v>37867.420000000006</v>
      </c>
      <c r="M98" s="38">
        <f>SUM(M85:M97)</f>
        <v>7587.2</v>
      </c>
      <c r="N98" s="38">
        <f>SUM(N85:N97)</f>
        <v>32801.08</v>
      </c>
      <c r="O98" s="38">
        <f>SUM(O85:O97)</f>
        <v>1368.31</v>
      </c>
      <c r="P98" s="75">
        <f t="shared" si="42"/>
        <v>31044.79</v>
      </c>
      <c r="Q98" s="75">
        <f>SUM(Q85:Q97)</f>
        <v>10785.800000000001</v>
      </c>
      <c r="R98" s="38">
        <f t="shared" si="42"/>
        <v>115917.05999999998</v>
      </c>
      <c r="S98" s="39"/>
      <c r="T98" s="38">
        <f>SUM(T85:T97)</f>
        <v>212460</v>
      </c>
      <c r="U98" s="38">
        <f>SUM(U85:U97)</f>
        <v>96542.940000000017</v>
      </c>
    </row>
    <row r="99" spans="1:22" s="40" customFormat="1" ht="11.25" customHeight="1">
      <c r="A99" s="43" t="s">
        <v>533</v>
      </c>
      <c r="B99" s="44"/>
      <c r="C99" s="44"/>
      <c r="D99" s="44"/>
      <c r="E99" s="38">
        <f t="shared" ref="E99:R99" si="43">E59+E65+E70+E79+E84+E98</f>
        <v>570464.34000000008</v>
      </c>
      <c r="F99" s="38">
        <f t="shared" si="43"/>
        <v>177127.52000000002</v>
      </c>
      <c r="G99" s="38">
        <f t="shared" si="43"/>
        <v>163947.90999999997</v>
      </c>
      <c r="H99" s="38">
        <f t="shared" si="43"/>
        <v>130177.59</v>
      </c>
      <c r="I99" s="38">
        <f t="shared" si="43"/>
        <v>175227.08999999997</v>
      </c>
      <c r="J99" s="38">
        <f t="shared" si="43"/>
        <v>160144.6</v>
      </c>
      <c r="K99" s="38">
        <f t="shared" si="43"/>
        <v>161662.96999999997</v>
      </c>
      <c r="L99" s="38">
        <f>L59+L65+L70+L79+L84+L98</f>
        <v>173597.96000000002</v>
      </c>
      <c r="M99" s="38">
        <f>M59+M65+M70+M79+M84+M98</f>
        <v>143241.74000000002</v>
      </c>
      <c r="N99" s="38">
        <f>N59+N65+N70+N79+N84+N98</f>
        <v>148730.46000000002</v>
      </c>
      <c r="O99" s="38">
        <f>O59+O65+O70+O79+O84+O98</f>
        <v>120882.81</v>
      </c>
      <c r="P99" s="75">
        <f t="shared" si="43"/>
        <v>266065.93</v>
      </c>
      <c r="Q99" s="75">
        <f>Q59+Q65+Q70+Q79+Q84+Q98</f>
        <v>189921.19999999998</v>
      </c>
      <c r="R99" s="38">
        <f t="shared" si="43"/>
        <v>2315126.19</v>
      </c>
      <c r="S99" s="39"/>
      <c r="T99" s="38">
        <f>T59+T65+T70+T79+T84+T98</f>
        <v>2364825</v>
      </c>
      <c r="U99" s="38">
        <f>U59+U65+U70+U79+U84+U98</f>
        <v>49698.809999999969</v>
      </c>
    </row>
    <row r="100" spans="1:22" ht="11.25" customHeight="1">
      <c r="A100" s="45"/>
      <c r="P100" s="74"/>
      <c r="Q100" s="74"/>
      <c r="S100" s="39"/>
    </row>
    <row r="101" spans="1:22" ht="11.25" customHeight="1">
      <c r="A101" s="46" t="s">
        <v>534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74"/>
      <c r="Q101" s="74"/>
      <c r="R101" s="34"/>
      <c r="T101" s="34"/>
      <c r="U101" s="34"/>
    </row>
    <row r="102" spans="1:22" ht="11.25" customHeight="1" outlineLevel="2">
      <c r="A102" s="35"/>
      <c r="B102" s="26">
        <v>24100</v>
      </c>
      <c r="C102" s="26">
        <v>110</v>
      </c>
      <c r="D102" s="26" t="s">
        <v>535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78"/>
      <c r="Q102" s="78"/>
      <c r="R102" s="47">
        <f t="shared" ref="R102:R111" si="44">SUM(E102:Q102)-P102</f>
        <v>0</v>
      </c>
      <c r="U102" s="21">
        <f t="shared" ref="U102:U111" si="45">+T102-R102</f>
        <v>0</v>
      </c>
      <c r="V102" s="22" t="s">
        <v>536</v>
      </c>
    </row>
    <row r="103" spans="1:22" ht="11.25" customHeight="1" outlineLevel="2">
      <c r="A103" s="35"/>
      <c r="B103" s="26">
        <v>24100</v>
      </c>
      <c r="C103" s="26">
        <v>120</v>
      </c>
      <c r="D103" s="26" t="s">
        <v>537</v>
      </c>
      <c r="E103" s="47">
        <v>2630</v>
      </c>
      <c r="F103" s="47">
        <v>917.17</v>
      </c>
      <c r="G103" s="47">
        <v>0</v>
      </c>
      <c r="H103" s="47">
        <v>0</v>
      </c>
      <c r="I103" s="47"/>
      <c r="J103" s="47">
        <v>35230.04</v>
      </c>
      <c r="K103" s="47">
        <v>4833.34</v>
      </c>
      <c r="L103" s="47">
        <v>4833.34</v>
      </c>
      <c r="M103" s="47">
        <v>4833.34</v>
      </c>
      <c r="N103" s="47">
        <v>4833.34</v>
      </c>
      <c r="O103" s="47">
        <v>4833.34</v>
      </c>
      <c r="P103" s="78">
        <v>5871.67</v>
      </c>
      <c r="Q103" s="78">
        <v>4387.26</v>
      </c>
      <c r="R103" s="47">
        <f t="shared" si="44"/>
        <v>67331.169999999984</v>
      </c>
      <c r="T103" s="21">
        <v>105432</v>
      </c>
      <c r="U103" s="21">
        <f t="shared" si="45"/>
        <v>38100.830000000016</v>
      </c>
      <c r="V103" s="22" t="s">
        <v>538</v>
      </c>
    </row>
    <row r="104" spans="1:22" ht="11.25" customHeight="1" outlineLevel="2">
      <c r="A104" s="35"/>
      <c r="B104" s="26">
        <v>24100</v>
      </c>
      <c r="C104" s="26">
        <v>120</v>
      </c>
      <c r="D104" s="26" t="s">
        <v>539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78"/>
      <c r="Q104" s="78"/>
      <c r="R104" s="47">
        <f t="shared" si="44"/>
        <v>0</v>
      </c>
      <c r="U104" s="21">
        <f t="shared" si="45"/>
        <v>0</v>
      </c>
      <c r="V104" s="22" t="s">
        <v>540</v>
      </c>
    </row>
    <row r="105" spans="1:22" ht="11.25" customHeight="1" outlineLevel="2">
      <c r="A105" s="35"/>
      <c r="B105" s="26">
        <v>24900</v>
      </c>
      <c r="C105" s="26">
        <v>110</v>
      </c>
      <c r="D105" s="26" t="s">
        <v>541</v>
      </c>
      <c r="E105" s="47">
        <v>9500</v>
      </c>
      <c r="F105" s="47">
        <v>9583.34</v>
      </c>
      <c r="G105" s="47">
        <v>9583.34</v>
      </c>
      <c r="H105" s="47">
        <v>9583.34</v>
      </c>
      <c r="I105" s="47">
        <v>9583.34</v>
      </c>
      <c r="J105" s="47">
        <v>9583.34</v>
      </c>
      <c r="K105" s="47">
        <f>4791.67+4791.67</f>
        <v>9583.34</v>
      </c>
      <c r="L105" s="47">
        <f>15591.68-6008.34</f>
        <v>9583.34</v>
      </c>
      <c r="M105" s="47">
        <v>9583</v>
      </c>
      <c r="N105" s="47">
        <v>9583</v>
      </c>
      <c r="O105" s="47">
        <f>15591.68-6008.68</f>
        <v>9583</v>
      </c>
      <c r="P105" s="78">
        <v>10000</v>
      </c>
      <c r="Q105" s="78">
        <v>9583</v>
      </c>
      <c r="R105" s="47">
        <f t="shared" si="44"/>
        <v>114915.37999999999</v>
      </c>
      <c r="T105" s="21">
        <v>120000</v>
      </c>
      <c r="U105" s="21">
        <f t="shared" si="45"/>
        <v>5084.6200000000099</v>
      </c>
      <c r="V105" s="22" t="s">
        <v>542</v>
      </c>
    </row>
    <row r="106" spans="1:22" ht="11.25" customHeight="1" outlineLevel="2">
      <c r="A106" s="35"/>
      <c r="B106" s="26">
        <v>24900</v>
      </c>
      <c r="C106" s="26">
        <v>110</v>
      </c>
      <c r="D106" s="26" t="s">
        <v>543</v>
      </c>
      <c r="E106" s="47">
        <v>6667</v>
      </c>
      <c r="F106" s="47">
        <v>0</v>
      </c>
      <c r="G106" s="47"/>
      <c r="H106" s="47"/>
      <c r="I106" s="47"/>
      <c r="J106" s="47">
        <v>41661.54</v>
      </c>
      <c r="K106" s="47">
        <f>3004.17+3004.17</f>
        <v>6008.34</v>
      </c>
      <c r="L106" s="47">
        <v>6008.34</v>
      </c>
      <c r="M106" s="47">
        <v>6008.68</v>
      </c>
      <c r="N106" s="47">
        <v>6008.68</v>
      </c>
      <c r="O106" s="47">
        <v>6008.68</v>
      </c>
      <c r="P106" s="78">
        <v>6666.67</v>
      </c>
      <c r="Q106" s="78">
        <v>6008.68</v>
      </c>
      <c r="R106" s="47">
        <f t="shared" si="44"/>
        <v>84379.939999999988</v>
      </c>
      <c r="T106" s="21">
        <v>80000</v>
      </c>
      <c r="U106" s="21">
        <f t="shared" si="45"/>
        <v>-4379.9399999999878</v>
      </c>
      <c r="V106" s="22" t="s">
        <v>544</v>
      </c>
    </row>
    <row r="107" spans="1:22" ht="11.25" customHeight="1" outlineLevel="2">
      <c r="A107" s="35"/>
      <c r="B107" s="26">
        <v>24900</v>
      </c>
      <c r="C107" s="26">
        <v>120</v>
      </c>
      <c r="D107" s="26" t="s">
        <v>460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78"/>
      <c r="Q107" s="78"/>
      <c r="R107" s="47">
        <f t="shared" si="44"/>
        <v>0</v>
      </c>
      <c r="U107" s="21">
        <f t="shared" si="45"/>
        <v>0</v>
      </c>
      <c r="V107" s="22" t="s">
        <v>545</v>
      </c>
    </row>
    <row r="108" spans="1:22" ht="11.25" customHeight="1" outlineLevel="2">
      <c r="A108" s="35"/>
      <c r="B108" s="26">
        <v>24900</v>
      </c>
      <c r="C108" s="26">
        <v>110</v>
      </c>
      <c r="D108" s="26" t="s">
        <v>546</v>
      </c>
      <c r="E108" s="47"/>
      <c r="F108" s="47">
        <v>0</v>
      </c>
      <c r="G108" s="47"/>
      <c r="H108" s="47"/>
      <c r="I108" s="47"/>
      <c r="J108" s="47"/>
      <c r="K108" s="47"/>
      <c r="L108" s="47"/>
      <c r="M108" s="47"/>
      <c r="N108" s="47"/>
      <c r="O108" s="47"/>
      <c r="P108" s="78"/>
      <c r="Q108" s="78"/>
      <c r="R108" s="47">
        <f t="shared" si="44"/>
        <v>0</v>
      </c>
      <c r="U108" s="21">
        <f t="shared" si="45"/>
        <v>0</v>
      </c>
      <c r="V108" s="22" t="s">
        <v>547</v>
      </c>
    </row>
    <row r="109" spans="1:22" ht="11.25" customHeight="1" outlineLevel="2">
      <c r="A109" s="35"/>
      <c r="B109" s="26">
        <v>21220</v>
      </c>
      <c r="C109" s="26">
        <v>110</v>
      </c>
      <c r="D109" s="26" t="s">
        <v>548</v>
      </c>
      <c r="E109" s="47">
        <v>4873.82</v>
      </c>
      <c r="F109" s="47">
        <v>9166.68</v>
      </c>
      <c r="G109" s="47">
        <v>9166.68</v>
      </c>
      <c r="H109" s="47">
        <v>9166.68</v>
      </c>
      <c r="I109" s="47">
        <v>9166.68</v>
      </c>
      <c r="J109" s="47">
        <f>877+9166.68</f>
        <v>10043.68</v>
      </c>
      <c r="K109" s="47">
        <v>8955.16</v>
      </c>
      <c r="L109" s="47">
        <v>9166.68</v>
      </c>
      <c r="M109" s="47">
        <v>9087.36</v>
      </c>
      <c r="N109" s="47">
        <v>9166.68</v>
      </c>
      <c r="O109" s="47">
        <v>9166.68</v>
      </c>
      <c r="P109" s="78">
        <v>5000</v>
      </c>
      <c r="Q109" s="78">
        <v>8743.64</v>
      </c>
      <c r="R109" s="47">
        <f t="shared" si="44"/>
        <v>105870.42</v>
      </c>
      <c r="T109" s="21">
        <v>60000</v>
      </c>
      <c r="U109" s="21">
        <f t="shared" si="45"/>
        <v>-45870.42</v>
      </c>
      <c r="V109" s="22" t="s">
        <v>549</v>
      </c>
    </row>
    <row r="110" spans="1:22" ht="11.25" customHeight="1" outlineLevel="2">
      <c r="A110" s="35"/>
      <c r="B110" s="26">
        <v>21220</v>
      </c>
      <c r="C110" s="26">
        <v>110</v>
      </c>
      <c r="D110" s="26" t="s">
        <v>464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78"/>
      <c r="Q110" s="78"/>
      <c r="R110" s="47">
        <f t="shared" si="44"/>
        <v>0</v>
      </c>
      <c r="U110" s="21">
        <f t="shared" si="45"/>
        <v>0</v>
      </c>
      <c r="V110" s="22" t="s">
        <v>550</v>
      </c>
    </row>
    <row r="111" spans="1:22" ht="11.25" customHeight="1" outlineLevel="2">
      <c r="A111" s="35"/>
      <c r="B111" s="26">
        <v>24100</v>
      </c>
      <c r="C111" s="26">
        <v>0</v>
      </c>
      <c r="D111" s="26" t="s">
        <v>551</v>
      </c>
      <c r="E111" s="47">
        <v>5000</v>
      </c>
      <c r="F111" s="47"/>
      <c r="G111" s="47"/>
      <c r="H111" s="47"/>
      <c r="I111" s="47"/>
      <c r="J111" s="47">
        <v>1839</v>
      </c>
      <c r="K111" s="47"/>
      <c r="L111" s="47"/>
      <c r="M111" s="47"/>
      <c r="N111" s="47"/>
      <c r="O111" s="47"/>
      <c r="P111" s="78"/>
      <c r="Q111" s="78"/>
      <c r="R111" s="47">
        <f t="shared" si="44"/>
        <v>6839</v>
      </c>
      <c r="U111" s="21">
        <f t="shared" si="45"/>
        <v>-6839</v>
      </c>
      <c r="V111" s="22" t="s">
        <v>552</v>
      </c>
    </row>
    <row r="112" spans="1:22" s="40" customFormat="1" ht="11.25" customHeight="1" outlineLevel="1">
      <c r="A112" s="43" t="s">
        <v>471</v>
      </c>
      <c r="B112" s="44"/>
      <c r="C112" s="44"/>
      <c r="D112" s="44"/>
      <c r="E112" s="38">
        <f t="shared" ref="E112:R112" si="46">SUM(E102:E111)</f>
        <v>28670.82</v>
      </c>
      <c r="F112" s="38">
        <f t="shared" si="46"/>
        <v>19667.190000000002</v>
      </c>
      <c r="G112" s="38">
        <f t="shared" si="46"/>
        <v>18750.02</v>
      </c>
      <c r="H112" s="38">
        <f t="shared" si="46"/>
        <v>18750.02</v>
      </c>
      <c r="I112" s="38">
        <f t="shared" si="46"/>
        <v>18750.02</v>
      </c>
      <c r="J112" s="38">
        <f t="shared" si="46"/>
        <v>98357.6</v>
      </c>
      <c r="K112" s="38">
        <f t="shared" si="46"/>
        <v>29380.18</v>
      </c>
      <c r="L112" s="38">
        <f>SUM(L102:L111)</f>
        <v>29591.7</v>
      </c>
      <c r="M112" s="38">
        <f>SUM(M102:M111)</f>
        <v>29512.38</v>
      </c>
      <c r="N112" s="38">
        <f>SUM(N102:N111)</f>
        <v>29591.7</v>
      </c>
      <c r="O112" s="38">
        <f>SUM(O102:O111)</f>
        <v>29591.7</v>
      </c>
      <c r="P112" s="75">
        <f t="shared" si="46"/>
        <v>27538.34</v>
      </c>
      <c r="Q112" s="75">
        <f>SUM(Q102:Q111)</f>
        <v>28722.58</v>
      </c>
      <c r="R112" s="38">
        <f t="shared" si="46"/>
        <v>379335.91</v>
      </c>
      <c r="S112" s="39"/>
      <c r="T112" s="38">
        <f>SUM(T102:T111)</f>
        <v>365432</v>
      </c>
      <c r="U112" s="38">
        <f>SUM(U102:U111)</f>
        <v>-13903.90999999996</v>
      </c>
    </row>
    <row r="113" spans="1:22" ht="11.25" customHeight="1" outlineLevel="2">
      <c r="A113" s="35"/>
      <c r="B113" s="26">
        <v>24100</v>
      </c>
      <c r="C113" s="26">
        <v>211</v>
      </c>
      <c r="D113" s="26" t="s">
        <v>553</v>
      </c>
      <c r="E113" s="47">
        <v>0</v>
      </c>
      <c r="F113" s="47"/>
      <c r="G113" s="47"/>
      <c r="H113" s="47">
        <v>0</v>
      </c>
      <c r="I113" s="47"/>
      <c r="J113" s="47"/>
      <c r="K113" s="47">
        <v>363.07</v>
      </c>
      <c r="L113" s="47">
        <v>363.07</v>
      </c>
      <c r="M113" s="47">
        <v>363.07</v>
      </c>
      <c r="N113" s="47">
        <v>363.07</v>
      </c>
      <c r="O113" s="47">
        <v>363.07</v>
      </c>
      <c r="P113" s="78">
        <v>615.02</v>
      </c>
      <c r="Q113" s="78">
        <v>361.45</v>
      </c>
      <c r="R113" s="47">
        <f t="shared" ref="R113:R125" si="47">SUM(E113:Q113)-P113</f>
        <v>2176.7999999999997</v>
      </c>
      <c r="T113" s="21">
        <v>7380</v>
      </c>
      <c r="U113" s="21">
        <f t="shared" ref="U113:U125" si="48">+T113-R113</f>
        <v>5203.2000000000007</v>
      </c>
      <c r="V113" s="22" t="s">
        <v>554</v>
      </c>
    </row>
    <row r="114" spans="1:22" ht="11.25" customHeight="1" outlineLevel="2">
      <c r="A114" s="35"/>
      <c r="B114" s="26">
        <v>24100</v>
      </c>
      <c r="C114" s="26">
        <v>211</v>
      </c>
      <c r="D114" s="26" t="s">
        <v>474</v>
      </c>
      <c r="E114" s="47">
        <v>0</v>
      </c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78"/>
      <c r="Q114" s="78"/>
      <c r="R114" s="47">
        <f t="shared" si="47"/>
        <v>0</v>
      </c>
      <c r="U114" s="21">
        <f t="shared" si="48"/>
        <v>0</v>
      </c>
      <c r="V114" s="22" t="s">
        <v>555</v>
      </c>
    </row>
    <row r="115" spans="1:22" ht="11.25" customHeight="1" outlineLevel="2">
      <c r="A115" s="35"/>
      <c r="B115" s="26">
        <v>24100</v>
      </c>
      <c r="C115" s="26">
        <v>216</v>
      </c>
      <c r="D115" s="26" t="s">
        <v>556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78"/>
      <c r="Q115" s="78"/>
      <c r="R115" s="47">
        <f t="shared" si="47"/>
        <v>0</v>
      </c>
      <c r="U115" s="21">
        <f t="shared" si="48"/>
        <v>0</v>
      </c>
    </row>
    <row r="116" spans="1:22" ht="11.25" customHeight="1" outlineLevel="2">
      <c r="A116" s="35"/>
      <c r="B116" s="26">
        <v>24100</v>
      </c>
      <c r="C116" s="26">
        <v>222</v>
      </c>
      <c r="D116" s="26" t="s">
        <v>476</v>
      </c>
      <c r="E116" s="47">
        <v>394.77</v>
      </c>
      <c r="F116" s="47">
        <v>394.77</v>
      </c>
      <c r="G116" s="47">
        <f>394.77+120.12</f>
        <v>514.89</v>
      </c>
      <c r="H116" s="47">
        <v>394.77</v>
      </c>
      <c r="I116" s="47">
        <v>394.77</v>
      </c>
      <c r="J116" s="47">
        <v>394.77</v>
      </c>
      <c r="K116" s="47">
        <f>394.77-87.37</f>
        <v>307.39999999999998</v>
      </c>
      <c r="L116" s="47">
        <f>+-87.37+394.77+1017.05</f>
        <v>1324.4499999999998</v>
      </c>
      <c r="M116" s="47">
        <f>394.77-87.37</f>
        <v>307.39999999999998</v>
      </c>
      <c r="N116" s="47">
        <f>394.77-87.37</f>
        <v>307.39999999999998</v>
      </c>
      <c r="O116" s="47">
        <f>-87.37+394.77</f>
        <v>307.39999999999998</v>
      </c>
      <c r="P116" s="78">
        <v>833.78</v>
      </c>
      <c r="Q116" s="78">
        <f>394.77-87.37</f>
        <v>307.39999999999998</v>
      </c>
      <c r="R116" s="47">
        <f t="shared" si="47"/>
        <v>5350.1899999999987</v>
      </c>
      <c r="T116" s="21">
        <v>10005</v>
      </c>
      <c r="U116" s="21">
        <f t="shared" si="48"/>
        <v>4654.8100000000013</v>
      </c>
      <c r="V116" s="22" t="s">
        <v>557</v>
      </c>
    </row>
    <row r="117" spans="1:22" ht="11.25" customHeight="1" outlineLevel="2">
      <c r="A117" s="35"/>
      <c r="B117" s="26" t="s">
        <v>468</v>
      </c>
      <c r="C117" s="26">
        <v>230</v>
      </c>
      <c r="D117" s="26" t="s">
        <v>478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78"/>
      <c r="Q117" s="78"/>
      <c r="R117" s="47">
        <f t="shared" si="47"/>
        <v>0</v>
      </c>
      <c r="U117" s="21">
        <f t="shared" si="48"/>
        <v>0</v>
      </c>
      <c r="V117" s="22" t="s">
        <v>558</v>
      </c>
    </row>
    <row r="118" spans="1:22" ht="11.25" customHeight="1" outlineLevel="2">
      <c r="A118" s="35"/>
      <c r="B118" s="26">
        <v>24100</v>
      </c>
      <c r="C118" s="26">
        <v>290</v>
      </c>
      <c r="D118" s="26" t="s">
        <v>480</v>
      </c>
      <c r="E118" s="47"/>
      <c r="F118" s="47"/>
      <c r="G118" s="47"/>
      <c r="H118" s="47"/>
      <c r="I118" s="47"/>
      <c r="J118" s="47"/>
      <c r="K118" s="47"/>
      <c r="L118" s="47"/>
      <c r="M118" s="47">
        <v>2701.27</v>
      </c>
      <c r="N118" s="47">
        <v>508.11</v>
      </c>
      <c r="O118" s="47"/>
      <c r="P118" s="78"/>
      <c r="Q118" s="78"/>
      <c r="R118" s="47">
        <f t="shared" si="47"/>
        <v>3209.38</v>
      </c>
      <c r="U118" s="21">
        <f t="shared" si="48"/>
        <v>-3209.38</v>
      </c>
      <c r="V118" s="22" t="s">
        <v>559</v>
      </c>
    </row>
    <row r="119" spans="1:22" ht="11.25" customHeight="1" outlineLevel="2">
      <c r="A119" s="35"/>
      <c r="B119" s="26">
        <v>24900</v>
      </c>
      <c r="C119" s="26">
        <v>211</v>
      </c>
      <c r="D119" s="26" t="s">
        <v>474</v>
      </c>
      <c r="E119" s="47">
        <f>709.86+382.5</f>
        <v>1092.3600000000001</v>
      </c>
      <c r="F119" s="47">
        <v>716.24</v>
      </c>
      <c r="G119" s="47">
        <v>716.24</v>
      </c>
      <c r="H119" s="47">
        <v>716.24</v>
      </c>
      <c r="I119" s="47">
        <v>715.7</v>
      </c>
      <c r="J119" s="47">
        <v>856.39</v>
      </c>
      <c r="K119" s="47">
        <v>1154.1199999999999</v>
      </c>
      <c r="L119" s="47">
        <v>1154.1199999999999</v>
      </c>
      <c r="M119" s="47">
        <v>1177.07</v>
      </c>
      <c r="N119" s="47">
        <v>1154.1199999999999</v>
      </c>
      <c r="O119" s="47">
        <v>1154.1199999999999</v>
      </c>
      <c r="P119" s="78">
        <v>1166.67</v>
      </c>
      <c r="Q119" s="78">
        <v>1154.1199999999999</v>
      </c>
      <c r="R119" s="47">
        <f t="shared" si="47"/>
        <v>11760.839999999998</v>
      </c>
      <c r="T119" s="21">
        <v>14000</v>
      </c>
      <c r="U119" s="21">
        <f t="shared" si="48"/>
        <v>2239.1600000000017</v>
      </c>
      <c r="V119" s="22" t="s">
        <v>560</v>
      </c>
    </row>
    <row r="120" spans="1:22" ht="12" customHeight="1" outlineLevel="2">
      <c r="A120" s="35"/>
      <c r="B120" s="26">
        <v>24900</v>
      </c>
      <c r="C120" s="26">
        <v>216</v>
      </c>
      <c r="D120" s="26" t="s">
        <v>556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78"/>
      <c r="Q120" s="78"/>
      <c r="R120" s="47">
        <f t="shared" si="47"/>
        <v>0</v>
      </c>
      <c r="U120" s="21">
        <f t="shared" si="48"/>
        <v>0</v>
      </c>
    </row>
    <row r="121" spans="1:22" ht="12" customHeight="1" outlineLevel="2">
      <c r="B121" s="26">
        <v>24900</v>
      </c>
      <c r="C121" s="26">
        <v>222</v>
      </c>
      <c r="D121" s="26" t="s">
        <v>476</v>
      </c>
      <c r="E121" s="47">
        <f>+-170.84+14206.82</f>
        <v>14035.98</v>
      </c>
      <c r="F121" s="47">
        <f>-170.84+935.42</f>
        <v>764.57999999999993</v>
      </c>
      <c r="G121" s="47">
        <f>+-170.84+1034.42</f>
        <v>863.58</v>
      </c>
      <c r="H121" s="47">
        <f>-170.84+982.26</f>
        <v>811.42</v>
      </c>
      <c r="I121" s="47">
        <f>-177.81+982.51</f>
        <v>804.7</v>
      </c>
      <c r="J121" s="47">
        <f>-177.81+982.51</f>
        <v>804.7</v>
      </c>
      <c r="K121" s="47">
        <f>-455.29+982.51</f>
        <v>527.22</v>
      </c>
      <c r="L121" s="47">
        <f>-455.29+982.51</f>
        <v>527.22</v>
      </c>
      <c r="M121" s="47">
        <f>-455.29-87.37+982.51</f>
        <v>439.84999999999991</v>
      </c>
      <c r="N121" s="47">
        <f>-455.29+982.51</f>
        <v>527.22</v>
      </c>
      <c r="O121" s="47">
        <f>-455.29+982.51</f>
        <v>527.22</v>
      </c>
      <c r="P121" s="78">
        <v>1528.6</v>
      </c>
      <c r="Q121" s="78">
        <f>-455.29+982.51</f>
        <v>527.22</v>
      </c>
      <c r="R121" s="47">
        <f t="shared" si="47"/>
        <v>21160.910000000003</v>
      </c>
      <c r="T121" s="21">
        <v>18343</v>
      </c>
      <c r="U121" s="21">
        <f t="shared" si="48"/>
        <v>-2817.9100000000035</v>
      </c>
      <c r="V121" s="22" t="s">
        <v>561</v>
      </c>
    </row>
    <row r="122" spans="1:22" ht="11.25" customHeight="1" outlineLevel="2">
      <c r="A122" s="35"/>
      <c r="B122" s="26">
        <v>24900</v>
      </c>
      <c r="C122" s="26">
        <v>290</v>
      </c>
      <c r="D122" s="26" t="s">
        <v>480</v>
      </c>
      <c r="E122" s="47"/>
      <c r="F122" s="47"/>
      <c r="G122" s="47"/>
      <c r="H122" s="47"/>
      <c r="I122" s="47"/>
      <c r="J122" s="47"/>
      <c r="K122" s="47"/>
      <c r="L122" s="47"/>
      <c r="M122" s="47">
        <v>3221.06</v>
      </c>
      <c r="N122" s="47"/>
      <c r="O122" s="47"/>
      <c r="P122" s="78"/>
      <c r="Q122" s="78"/>
      <c r="R122" s="47">
        <f t="shared" si="47"/>
        <v>3221.06</v>
      </c>
      <c r="U122" s="21">
        <f t="shared" si="48"/>
        <v>-3221.06</v>
      </c>
      <c r="V122" s="22" t="s">
        <v>562</v>
      </c>
    </row>
    <row r="123" spans="1:22" ht="11.25" customHeight="1" outlineLevel="2">
      <c r="A123" s="35"/>
      <c r="B123" s="26">
        <v>21220</v>
      </c>
      <c r="C123" s="26">
        <v>212</v>
      </c>
      <c r="D123" s="26" t="s">
        <v>474</v>
      </c>
      <c r="E123" s="47">
        <v>870.34</v>
      </c>
      <c r="F123" s="47">
        <v>688.7</v>
      </c>
      <c r="G123" s="47">
        <v>688.7</v>
      </c>
      <c r="H123" s="47">
        <v>688.7</v>
      </c>
      <c r="I123" s="47">
        <v>687.64</v>
      </c>
      <c r="J123" s="47">
        <v>848.82</v>
      </c>
      <c r="K123" s="47">
        <v>671.45</v>
      </c>
      <c r="L123" s="47">
        <v>687.64</v>
      </c>
      <c r="M123" s="47">
        <v>681.57</v>
      </c>
      <c r="N123" s="47">
        <v>687.64</v>
      </c>
      <c r="O123" s="47">
        <v>878.89</v>
      </c>
      <c r="P123" s="78">
        <v>350</v>
      </c>
      <c r="Q123" s="78">
        <v>722.2</v>
      </c>
      <c r="R123" s="47">
        <f t="shared" si="47"/>
        <v>8802.2900000000009</v>
      </c>
      <c r="T123" s="21">
        <v>4200</v>
      </c>
      <c r="U123" s="21">
        <f t="shared" si="48"/>
        <v>-4602.2900000000009</v>
      </c>
    </row>
    <row r="124" spans="1:22" ht="11.25" customHeight="1" outlineLevel="2">
      <c r="A124" s="35"/>
      <c r="B124" s="26">
        <v>21220</v>
      </c>
      <c r="C124" s="26">
        <v>222</v>
      </c>
      <c r="D124" s="26" t="s">
        <v>476</v>
      </c>
      <c r="E124" s="47">
        <v>164.09</v>
      </c>
      <c r="F124" s="47">
        <v>-164.09</v>
      </c>
      <c r="G124" s="47">
        <f>1349.27-164.09</f>
        <v>1185.18</v>
      </c>
      <c r="H124" s="47">
        <f>-164.09+1044.43</f>
        <v>880.34</v>
      </c>
      <c r="I124" s="47">
        <f t="shared" ref="I124:N124" si="49">-178.08+1045.43</f>
        <v>867.35</v>
      </c>
      <c r="J124" s="47">
        <f t="shared" si="49"/>
        <v>867.35</v>
      </c>
      <c r="K124" s="47">
        <f t="shared" si="49"/>
        <v>867.35</v>
      </c>
      <c r="L124" s="47">
        <f t="shared" si="49"/>
        <v>867.35</v>
      </c>
      <c r="M124" s="47">
        <f t="shared" si="49"/>
        <v>867.35</v>
      </c>
      <c r="N124" s="47">
        <f t="shared" si="49"/>
        <v>867.35</v>
      </c>
      <c r="O124" s="47">
        <f>-178.08+1045.43</f>
        <v>867.35</v>
      </c>
      <c r="P124" s="78">
        <v>1111.71</v>
      </c>
      <c r="Q124" s="78">
        <f>-178.08+1041.77</f>
        <v>863.68999999999994</v>
      </c>
      <c r="R124" s="47">
        <f t="shared" si="47"/>
        <v>9000.66</v>
      </c>
      <c r="T124" s="21">
        <v>13341</v>
      </c>
      <c r="U124" s="21">
        <f t="shared" si="48"/>
        <v>4340.34</v>
      </c>
    </row>
    <row r="125" spans="1:22" ht="11.25" customHeight="1" outlineLevel="2">
      <c r="A125" s="35"/>
      <c r="B125" s="26">
        <v>21220</v>
      </c>
      <c r="C125" s="26">
        <v>290</v>
      </c>
      <c r="D125" s="26" t="s">
        <v>480</v>
      </c>
      <c r="E125" s="47">
        <v>2059.0300000000002</v>
      </c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78"/>
      <c r="Q125" s="78"/>
      <c r="R125" s="47">
        <f t="shared" si="47"/>
        <v>2059.0300000000002</v>
      </c>
      <c r="U125" s="21">
        <f t="shared" si="48"/>
        <v>-2059.0300000000002</v>
      </c>
    </row>
    <row r="126" spans="1:22" s="40" customFormat="1" ht="11.25" customHeight="1" outlineLevel="1">
      <c r="A126" s="43" t="s">
        <v>482</v>
      </c>
      <c r="B126" s="44"/>
      <c r="C126" s="44"/>
      <c r="D126" s="44"/>
      <c r="E126" s="38">
        <f t="shared" ref="E126:R126" si="50">SUM(E113:E125)</f>
        <v>18616.57</v>
      </c>
      <c r="F126" s="38">
        <f t="shared" si="50"/>
        <v>2400.1999999999998</v>
      </c>
      <c r="G126" s="38">
        <f t="shared" si="50"/>
        <v>3968.59</v>
      </c>
      <c r="H126" s="38">
        <f t="shared" si="50"/>
        <v>3491.4700000000003</v>
      </c>
      <c r="I126" s="38">
        <f t="shared" si="50"/>
        <v>3470.16</v>
      </c>
      <c r="J126" s="38">
        <f t="shared" si="50"/>
        <v>3772.0299999999997</v>
      </c>
      <c r="K126" s="38">
        <f t="shared" si="50"/>
        <v>3890.61</v>
      </c>
      <c r="L126" s="38">
        <f>SUM(L113:L125)</f>
        <v>4923.8499999999995</v>
      </c>
      <c r="M126" s="38">
        <f>SUM(M113:M125)</f>
        <v>9758.64</v>
      </c>
      <c r="N126" s="38">
        <f>SUM(N113:N125)</f>
        <v>4414.91</v>
      </c>
      <c r="O126" s="38">
        <f>SUM(O113:O125)</f>
        <v>4098.05</v>
      </c>
      <c r="P126" s="75">
        <f t="shared" si="50"/>
        <v>5605.78</v>
      </c>
      <c r="Q126" s="75">
        <f>SUM(Q113:Q125)</f>
        <v>3936.0799999999995</v>
      </c>
      <c r="R126" s="38">
        <f t="shared" si="50"/>
        <v>66741.16</v>
      </c>
      <c r="S126" s="39"/>
      <c r="T126" s="38">
        <f>SUM(T113:T125)</f>
        <v>67269</v>
      </c>
      <c r="U126" s="38">
        <f>SUM(U113:U125)</f>
        <v>527.84000000000015</v>
      </c>
    </row>
    <row r="127" spans="1:22" ht="11.25" customHeight="1" outlineLevel="2">
      <c r="A127" s="35"/>
      <c r="B127" s="26">
        <v>24100</v>
      </c>
      <c r="C127" s="26">
        <v>530</v>
      </c>
      <c r="D127" s="26" t="s">
        <v>563</v>
      </c>
      <c r="E127" s="21">
        <v>124.94</v>
      </c>
      <c r="F127" s="21">
        <v>123.54</v>
      </c>
      <c r="G127" s="21">
        <v>120.99</v>
      </c>
      <c r="H127" s="21">
        <v>0</v>
      </c>
      <c r="I127" s="21">
        <v>801.28</v>
      </c>
      <c r="J127" s="21">
        <v>202.44</v>
      </c>
      <c r="K127" s="21">
        <v>256</v>
      </c>
      <c r="L127" s="21">
        <v>100</v>
      </c>
      <c r="M127" s="21">
        <v>432.29</v>
      </c>
      <c r="N127" s="21">
        <v>174.49</v>
      </c>
      <c r="O127" s="21">
        <v>165.56</v>
      </c>
      <c r="P127" s="74"/>
      <c r="Q127" s="74">
        <v>337.94</v>
      </c>
      <c r="R127" s="21">
        <f t="shared" ref="R127:R132" si="51">SUM(E127:Q127)-P127</f>
        <v>2839.4700000000003</v>
      </c>
      <c r="U127" s="21">
        <f t="shared" ref="U127:U132" si="52">+T127-R127</f>
        <v>-2839.4700000000003</v>
      </c>
      <c r="V127" s="22" t="s">
        <v>564</v>
      </c>
    </row>
    <row r="128" spans="1:22" ht="11.25" customHeight="1" outlineLevel="2">
      <c r="A128" s="35"/>
      <c r="B128" s="26">
        <v>24100</v>
      </c>
      <c r="C128" s="26">
        <v>550</v>
      </c>
      <c r="D128" s="26" t="s">
        <v>565</v>
      </c>
      <c r="G128" s="21">
        <v>440</v>
      </c>
      <c r="P128" s="74"/>
      <c r="Q128" s="74"/>
      <c r="R128" s="21">
        <f t="shared" si="51"/>
        <v>440</v>
      </c>
      <c r="U128" s="21">
        <f t="shared" si="52"/>
        <v>-440</v>
      </c>
      <c r="V128" s="22" t="s">
        <v>566</v>
      </c>
    </row>
    <row r="129" spans="1:22" ht="11.25" customHeight="1" outlineLevel="2">
      <c r="A129" s="35"/>
      <c r="B129" s="26">
        <v>21340</v>
      </c>
      <c r="C129" s="26">
        <v>611</v>
      </c>
      <c r="D129" s="26" t="s">
        <v>567</v>
      </c>
      <c r="E129" s="21">
        <v>1155.5999999999999</v>
      </c>
      <c r="F129" s="21">
        <v>120.2</v>
      </c>
      <c r="G129" s="21">
        <v>362.72</v>
      </c>
      <c r="H129" s="21">
        <v>1155.5999999999999</v>
      </c>
      <c r="I129" s="21">
        <v>1546.16</v>
      </c>
      <c r="J129" s="21">
        <v>585.86</v>
      </c>
      <c r="K129" s="21">
        <v>2119.7399999999998</v>
      </c>
      <c r="L129" s="21">
        <v>925.92</v>
      </c>
      <c r="M129" s="21">
        <v>860.06</v>
      </c>
      <c r="N129" s="21">
        <v>662.39</v>
      </c>
      <c r="O129" s="21">
        <v>57.98</v>
      </c>
      <c r="P129" s="74"/>
      <c r="Q129" s="74">
        <v>1877.97</v>
      </c>
      <c r="R129" s="21">
        <f t="shared" si="51"/>
        <v>11430.199999999997</v>
      </c>
      <c r="U129" s="21">
        <f t="shared" si="52"/>
        <v>-11430.199999999997</v>
      </c>
      <c r="V129" s="22" t="s">
        <v>568</v>
      </c>
    </row>
    <row r="130" spans="1:22" ht="11.25" customHeight="1" outlineLevel="2">
      <c r="A130" s="35"/>
      <c r="B130" s="26">
        <v>24100</v>
      </c>
      <c r="C130" s="26">
        <v>611</v>
      </c>
      <c r="D130" s="26" t="s">
        <v>506</v>
      </c>
      <c r="E130" s="21">
        <v>814.26</v>
      </c>
      <c r="F130" s="21">
        <f>5289.18-781-1352.4</f>
        <v>3155.78</v>
      </c>
      <c r="G130" s="21">
        <v>37.950000000000003</v>
      </c>
      <c r="H130" s="21">
        <v>191.66</v>
      </c>
      <c r="I130" s="21">
        <f>4752.76-683.56</f>
        <v>4069.2000000000003</v>
      </c>
      <c r="J130" s="21">
        <f>1601.21+120.1</f>
        <v>1721.31</v>
      </c>
      <c r="K130" s="21">
        <f>615.58+563.46</f>
        <v>1179.04</v>
      </c>
      <c r="L130" s="21">
        <f>113.07+184.32</f>
        <v>297.39</v>
      </c>
      <c r="M130" s="21">
        <f>+-258.96</f>
        <v>-258.95999999999998</v>
      </c>
      <c r="N130" s="21">
        <v>150.66</v>
      </c>
      <c r="O130" s="21">
        <v>1739.19</v>
      </c>
      <c r="P130" s="74">
        <v>1666.67</v>
      </c>
      <c r="Q130" s="74">
        <v>508.53</v>
      </c>
      <c r="R130" s="21">
        <f t="shared" si="51"/>
        <v>13606.010000000002</v>
      </c>
      <c r="T130" s="21">
        <v>20000</v>
      </c>
      <c r="U130" s="21">
        <f t="shared" si="52"/>
        <v>6393.989999999998</v>
      </c>
      <c r="V130" s="22" t="s">
        <v>569</v>
      </c>
    </row>
    <row r="131" spans="1:22" ht="11.25" customHeight="1" outlineLevel="2">
      <c r="A131" s="35"/>
      <c r="B131" s="26">
        <v>24100</v>
      </c>
      <c r="C131" s="26">
        <v>655</v>
      </c>
      <c r="D131" s="26" t="s">
        <v>487</v>
      </c>
      <c r="E131" s="21">
        <v>192.21</v>
      </c>
      <c r="F131" s="21">
        <v>306.61</v>
      </c>
      <c r="G131" s="21">
        <v>2814.55</v>
      </c>
      <c r="I131" s="21">
        <v>660.36</v>
      </c>
      <c r="J131" s="21">
        <v>48.31</v>
      </c>
      <c r="K131" s="21">
        <v>170.92</v>
      </c>
      <c r="M131" s="21">
        <v>288</v>
      </c>
      <c r="N131" s="21">
        <v>146.99</v>
      </c>
      <c r="P131" s="74"/>
      <c r="Q131" s="74"/>
      <c r="R131" s="21">
        <f t="shared" si="51"/>
        <v>4627.95</v>
      </c>
      <c r="U131" s="21">
        <f t="shared" si="52"/>
        <v>-4627.95</v>
      </c>
    </row>
    <row r="132" spans="1:22" ht="11.25" customHeight="1" outlineLevel="2">
      <c r="A132" s="35"/>
      <c r="B132" s="26">
        <v>24100</v>
      </c>
      <c r="C132" s="26">
        <v>810</v>
      </c>
      <c r="D132" s="26" t="s">
        <v>570</v>
      </c>
      <c r="E132" s="21">
        <v>476.36</v>
      </c>
      <c r="F132" s="21">
        <v>811.9</v>
      </c>
      <c r="G132" s="21">
        <v>514.33000000000004</v>
      </c>
      <c r="H132" s="21">
        <v>582.27</v>
      </c>
      <c r="I132" s="21">
        <v>649.62</v>
      </c>
      <c r="J132" s="21">
        <v>1933.04</v>
      </c>
      <c r="K132" s="21">
        <v>869.97</v>
      </c>
      <c r="L132" s="21">
        <v>590.78</v>
      </c>
      <c r="M132" s="21">
        <v>1679.7</v>
      </c>
      <c r="N132" s="21">
        <v>577.52</v>
      </c>
      <c r="O132" s="21">
        <v>969.77</v>
      </c>
      <c r="P132" s="74">
        <v>600.08000000000004</v>
      </c>
      <c r="Q132" s="74">
        <v>1477.45</v>
      </c>
      <c r="R132" s="21">
        <f t="shared" si="51"/>
        <v>11132.710000000001</v>
      </c>
      <c r="T132" s="21">
        <v>7201</v>
      </c>
      <c r="U132" s="21">
        <f t="shared" si="52"/>
        <v>-3931.7100000000009</v>
      </c>
      <c r="V132" s="22" t="s">
        <v>571</v>
      </c>
    </row>
    <row r="133" spans="1:22" s="40" customFormat="1" ht="11.25" customHeight="1" outlineLevel="1">
      <c r="A133" s="43" t="s">
        <v>572</v>
      </c>
      <c r="B133" s="44"/>
      <c r="C133" s="44"/>
      <c r="D133" s="44"/>
      <c r="E133" s="38">
        <f t="shared" ref="E133:R133" si="53">SUM(E127:E132)</f>
        <v>2763.3700000000003</v>
      </c>
      <c r="F133" s="38">
        <f t="shared" si="53"/>
        <v>4518.0300000000007</v>
      </c>
      <c r="G133" s="38">
        <f t="shared" si="53"/>
        <v>4290.54</v>
      </c>
      <c r="H133" s="38">
        <f t="shared" si="53"/>
        <v>1929.53</v>
      </c>
      <c r="I133" s="38">
        <f t="shared" si="53"/>
        <v>7726.62</v>
      </c>
      <c r="J133" s="38">
        <f t="shared" si="53"/>
        <v>4490.9599999999991</v>
      </c>
      <c r="K133" s="38">
        <f t="shared" si="53"/>
        <v>4595.67</v>
      </c>
      <c r="L133" s="38">
        <f>SUM(L127:L132)</f>
        <v>1914.09</v>
      </c>
      <c r="M133" s="38">
        <f>SUM(M127:M132)</f>
        <v>3001.09</v>
      </c>
      <c r="N133" s="38">
        <f>SUM(N127:N132)</f>
        <v>1712.05</v>
      </c>
      <c r="O133" s="38">
        <f>SUM(O127:O132)</f>
        <v>2932.5</v>
      </c>
      <c r="P133" s="75">
        <f t="shared" si="53"/>
        <v>2266.75</v>
      </c>
      <c r="Q133" s="75">
        <f>SUM(Q127:Q132)</f>
        <v>4201.8899999999994</v>
      </c>
      <c r="R133" s="38">
        <f t="shared" si="53"/>
        <v>44076.34</v>
      </c>
      <c r="S133" s="39"/>
      <c r="T133" s="38">
        <f>SUM(T127:T132)</f>
        <v>27201</v>
      </c>
      <c r="U133" s="38">
        <f>SUM(U127:U132)</f>
        <v>-16875.340000000004</v>
      </c>
    </row>
    <row r="134" spans="1:22" ht="11.25" customHeight="1" outlineLevel="2">
      <c r="A134" s="35"/>
      <c r="B134" s="26">
        <v>23150</v>
      </c>
      <c r="C134" s="26">
        <v>319</v>
      </c>
      <c r="D134" s="26" t="s">
        <v>573</v>
      </c>
      <c r="E134" s="21">
        <v>0</v>
      </c>
      <c r="F134" s="21">
        <v>0</v>
      </c>
      <c r="G134" s="21">
        <v>0</v>
      </c>
      <c r="H134" s="21">
        <v>0</v>
      </c>
      <c r="M134" s="21">
        <v>0</v>
      </c>
      <c r="P134" s="74">
        <v>126.5</v>
      </c>
      <c r="Q134" s="74">
        <v>0</v>
      </c>
      <c r="R134" s="21">
        <f t="shared" ref="R134:R143" si="54">SUM(E134:Q134)-P134</f>
        <v>0</v>
      </c>
      <c r="T134" s="21">
        <v>1518</v>
      </c>
      <c r="U134" s="21">
        <f t="shared" ref="U134:U143" si="55">+T134-R134</f>
        <v>1518</v>
      </c>
      <c r="V134" s="22" t="s">
        <v>574</v>
      </c>
    </row>
    <row r="135" spans="1:22" ht="11.25" customHeight="1" outlineLevel="2">
      <c r="A135" s="35"/>
      <c r="B135" s="26">
        <v>23190</v>
      </c>
      <c r="C135" s="26">
        <v>312</v>
      </c>
      <c r="D135" s="26" t="s">
        <v>575</v>
      </c>
      <c r="P135" s="74">
        <v>3000</v>
      </c>
      <c r="Q135" s="74">
        <v>0</v>
      </c>
      <c r="R135" s="21">
        <f t="shared" si="54"/>
        <v>0</v>
      </c>
      <c r="T135" s="21">
        <v>3000</v>
      </c>
      <c r="U135" s="21">
        <f t="shared" si="55"/>
        <v>3000</v>
      </c>
      <c r="V135" s="22" t="s">
        <v>576</v>
      </c>
    </row>
    <row r="136" spans="1:22" ht="11.25" customHeight="1" outlineLevel="2">
      <c r="A136" s="35"/>
      <c r="B136" s="26">
        <v>21340</v>
      </c>
      <c r="C136" s="26">
        <v>319</v>
      </c>
      <c r="D136" s="26" t="s">
        <v>577</v>
      </c>
      <c r="F136" s="21">
        <v>8378.1299999999992</v>
      </c>
      <c r="G136" s="21">
        <v>0</v>
      </c>
      <c r="J136" s="21">
        <v>13016.38</v>
      </c>
      <c r="P136" s="74"/>
      <c r="Q136" s="74"/>
      <c r="R136" s="21">
        <f t="shared" si="54"/>
        <v>21394.51</v>
      </c>
      <c r="T136" s="21">
        <v>0</v>
      </c>
      <c r="U136" s="21">
        <f t="shared" si="55"/>
        <v>-21394.51</v>
      </c>
      <c r="V136" s="22" t="s">
        <v>578</v>
      </c>
    </row>
    <row r="137" spans="1:22" ht="36.75" customHeight="1" outlineLevel="2">
      <c r="A137" s="35"/>
      <c r="B137" s="26">
        <v>24100</v>
      </c>
      <c r="C137" s="26">
        <v>319</v>
      </c>
      <c r="D137" s="26" t="s">
        <v>503</v>
      </c>
      <c r="E137" s="21">
        <f>200+1560+3125+9018.6</f>
        <v>13903.6</v>
      </c>
      <c r="F137" s="21">
        <f>11198.33-1230-1400-825</f>
        <v>7743.33</v>
      </c>
      <c r="G137" s="21">
        <v>8243.33</v>
      </c>
      <c r="H137" s="21">
        <v>5058.33</v>
      </c>
      <c r="I137" s="21">
        <v>7500.83</v>
      </c>
      <c r="J137" s="21">
        <v>6648.33</v>
      </c>
      <c r="K137" s="21">
        <v>9101.16</v>
      </c>
      <c r="L137" s="21">
        <v>4475.33</v>
      </c>
      <c r="M137" s="21">
        <f>1560+4238.33</f>
        <v>5798.33</v>
      </c>
      <c r="N137" s="21">
        <v>3893.33</v>
      </c>
      <c r="O137" s="21">
        <v>2583.33</v>
      </c>
      <c r="P137" s="74"/>
      <c r="Q137" s="74">
        <f>5203.39+500</f>
        <v>5703.39</v>
      </c>
      <c r="R137" s="21">
        <f t="shared" si="54"/>
        <v>80652.62000000001</v>
      </c>
      <c r="U137" s="21">
        <f t="shared" si="55"/>
        <v>-80652.62000000001</v>
      </c>
      <c r="V137" s="81" t="s">
        <v>579</v>
      </c>
    </row>
    <row r="138" spans="1:22" ht="11.25" customHeight="1" outlineLevel="2">
      <c r="A138" s="35"/>
      <c r="B138" s="26">
        <v>25110</v>
      </c>
      <c r="C138" s="26">
        <v>319</v>
      </c>
      <c r="D138" s="26" t="s">
        <v>580</v>
      </c>
      <c r="E138" s="21">
        <v>2083.33</v>
      </c>
      <c r="G138" s="21">
        <v>0</v>
      </c>
      <c r="H138" s="21">
        <v>0</v>
      </c>
      <c r="I138" s="21">
        <v>0</v>
      </c>
      <c r="J138" s="21">
        <v>10694.35</v>
      </c>
      <c r="K138" s="21">
        <v>0</v>
      </c>
      <c r="M138" s="21">
        <v>0</v>
      </c>
      <c r="P138" s="74">
        <v>8220</v>
      </c>
      <c r="Q138" s="74">
        <v>0</v>
      </c>
      <c r="R138" s="21">
        <f t="shared" si="54"/>
        <v>12777.68</v>
      </c>
      <c r="T138" s="21">
        <v>32881</v>
      </c>
      <c r="U138" s="21">
        <f t="shared" si="55"/>
        <v>20103.32</v>
      </c>
      <c r="V138" s="22" t="s">
        <v>581</v>
      </c>
    </row>
    <row r="139" spans="1:22" ht="11.25" customHeight="1" outlineLevel="2">
      <c r="A139" s="35"/>
      <c r="B139" s="26">
        <v>25110</v>
      </c>
      <c r="C139" s="26">
        <v>319</v>
      </c>
      <c r="D139" s="26" t="s">
        <v>582</v>
      </c>
      <c r="E139" s="21">
        <v>81250</v>
      </c>
      <c r="H139" s="21">
        <v>81250</v>
      </c>
      <c r="P139" s="74"/>
      <c r="Q139" s="74">
        <v>0</v>
      </c>
      <c r="R139" s="21">
        <f t="shared" si="54"/>
        <v>162500</v>
      </c>
      <c r="T139" s="21">
        <v>325000</v>
      </c>
      <c r="U139" s="21">
        <f t="shared" si="55"/>
        <v>162500</v>
      </c>
      <c r="V139" s="22" t="s">
        <v>583</v>
      </c>
    </row>
    <row r="140" spans="1:22" ht="11.25" customHeight="1" outlineLevel="2">
      <c r="A140" s="35"/>
      <c r="B140" s="26">
        <v>25150</v>
      </c>
      <c r="C140" s="26">
        <v>316</v>
      </c>
      <c r="D140" s="26" t="s">
        <v>584</v>
      </c>
      <c r="E140" s="21">
        <v>781.88</v>
      </c>
      <c r="F140" s="21">
        <f>530.25+5645</f>
        <v>6175.25</v>
      </c>
      <c r="G140" s="21">
        <v>603.49</v>
      </c>
      <c r="H140" s="21">
        <f>553.52+2871+136</f>
        <v>3560.52</v>
      </c>
      <c r="I140" s="21">
        <f>556.56+3069+136-2062.38</f>
        <v>1699.1799999999998</v>
      </c>
      <c r="J140" s="21">
        <f>746.94+3205</f>
        <v>3951.94</v>
      </c>
      <c r="K140" s="21">
        <f>514.24+2970+128</f>
        <v>3612.24</v>
      </c>
      <c r="L140" s="21">
        <f>442.01+136+2772</f>
        <v>3350.01</v>
      </c>
      <c r="M140" s="21">
        <f>427.94+2900</f>
        <v>3327.94</v>
      </c>
      <c r="N140" s="21">
        <v>423.79</v>
      </c>
      <c r="O140" s="21">
        <f>432.08+2868</f>
        <v>3300.08</v>
      </c>
      <c r="P140" s="74">
        <v>1666.67</v>
      </c>
      <c r="Q140" s="74">
        <f>1899.88+2772+128</f>
        <v>4799.88</v>
      </c>
      <c r="R140" s="21">
        <f t="shared" si="54"/>
        <v>35586.199999999997</v>
      </c>
      <c r="T140" s="21">
        <v>20000</v>
      </c>
      <c r="U140" s="21">
        <f t="shared" si="55"/>
        <v>-15586.199999999997</v>
      </c>
      <c r="V140" s="22" t="s">
        <v>585</v>
      </c>
    </row>
    <row r="141" spans="1:22" ht="11.25" customHeight="1" outlineLevel="2">
      <c r="A141" s="35"/>
      <c r="B141" s="26">
        <v>25160</v>
      </c>
      <c r="C141" s="26">
        <v>319</v>
      </c>
      <c r="D141" s="26" t="s">
        <v>586</v>
      </c>
      <c r="E141" s="21">
        <v>17126.759999999998</v>
      </c>
      <c r="F141" s="21">
        <v>7749</v>
      </c>
      <c r="G141" s="21">
        <v>25647.46</v>
      </c>
      <c r="H141" s="21">
        <v>0</v>
      </c>
      <c r="I141" s="21">
        <v>17800</v>
      </c>
      <c r="J141" s="21">
        <v>7560</v>
      </c>
      <c r="K141" s="21">
        <v>4920</v>
      </c>
      <c r="L141" s="21">
        <f>7440+700</f>
        <v>8140</v>
      </c>
      <c r="M141" s="21">
        <v>7329.61</v>
      </c>
      <c r="N141" s="21">
        <f>5815+96+2772</f>
        <v>8683</v>
      </c>
      <c r="O141" s="21">
        <v>5250</v>
      </c>
      <c r="P141" s="74">
        <v>8251</v>
      </c>
      <c r="Q141" s="74">
        <v>10305</v>
      </c>
      <c r="R141" s="21">
        <f t="shared" si="54"/>
        <v>120510.83</v>
      </c>
      <c r="T141" s="21">
        <v>99012</v>
      </c>
      <c r="U141" s="21">
        <f t="shared" si="55"/>
        <v>-21498.83</v>
      </c>
      <c r="V141" s="22" t="s">
        <v>587</v>
      </c>
    </row>
    <row r="142" spans="1:22" ht="24" customHeight="1" outlineLevel="2">
      <c r="A142" s="35"/>
      <c r="B142" s="26">
        <v>25160</v>
      </c>
      <c r="C142" s="26">
        <v>319</v>
      </c>
      <c r="D142" s="26" t="s">
        <v>588</v>
      </c>
      <c r="P142" s="74"/>
      <c r="Q142" s="74"/>
      <c r="R142" s="21">
        <f t="shared" si="54"/>
        <v>0</v>
      </c>
      <c r="U142" s="21">
        <f t="shared" si="55"/>
        <v>0</v>
      </c>
      <c r="V142" s="81" t="s">
        <v>589</v>
      </c>
    </row>
    <row r="143" spans="1:22" ht="11.25" customHeight="1" outlineLevel="2">
      <c r="A143" s="35"/>
      <c r="B143" s="26">
        <v>25195</v>
      </c>
      <c r="C143" s="26">
        <v>871</v>
      </c>
      <c r="D143" s="26" t="s">
        <v>590</v>
      </c>
      <c r="E143" s="21">
        <v>71.5</v>
      </c>
      <c r="F143" s="21">
        <v>36.11</v>
      </c>
      <c r="G143" s="21">
        <v>5</v>
      </c>
      <c r="H143" s="21">
        <v>12.5</v>
      </c>
      <c r="I143" s="21">
        <v>17.920000000000002</v>
      </c>
      <c r="J143" s="21">
        <v>7.5</v>
      </c>
      <c r="K143" s="21">
        <v>90.02</v>
      </c>
      <c r="L143" s="21">
        <v>5</v>
      </c>
      <c r="M143" s="21">
        <v>5</v>
      </c>
      <c r="N143" s="21">
        <f>75+20</f>
        <v>95</v>
      </c>
      <c r="O143" s="21">
        <f>472.75+55</f>
        <v>527.75</v>
      </c>
      <c r="P143" s="74">
        <v>36.08</v>
      </c>
      <c r="Q143" s="74">
        <v>18.489999999999998</v>
      </c>
      <c r="R143" s="21">
        <f t="shared" si="54"/>
        <v>891.79</v>
      </c>
      <c r="T143" s="21">
        <v>433</v>
      </c>
      <c r="U143" s="21">
        <f t="shared" si="55"/>
        <v>-458.78999999999996</v>
      </c>
    </row>
    <row r="144" spans="1:22" s="40" customFormat="1" ht="11.25" customHeight="1" outlineLevel="1">
      <c r="A144" s="43" t="s">
        <v>503</v>
      </c>
      <c r="B144" s="44"/>
      <c r="C144" s="44"/>
      <c r="D144" s="44"/>
      <c r="E144" s="38">
        <f t="shared" ref="E144:R144" si="56">SUM(E134:E143)</f>
        <v>115217.06999999999</v>
      </c>
      <c r="F144" s="38">
        <f t="shared" si="56"/>
        <v>30081.82</v>
      </c>
      <c r="G144" s="38">
        <f t="shared" si="56"/>
        <v>34499.279999999999</v>
      </c>
      <c r="H144" s="38">
        <f t="shared" si="56"/>
        <v>89881.35</v>
      </c>
      <c r="I144" s="38">
        <f t="shared" si="56"/>
        <v>27017.93</v>
      </c>
      <c r="J144" s="38">
        <f t="shared" si="56"/>
        <v>41878.5</v>
      </c>
      <c r="K144" s="38">
        <f t="shared" si="56"/>
        <v>17723.420000000002</v>
      </c>
      <c r="L144" s="38">
        <f t="shared" si="56"/>
        <v>15970.34</v>
      </c>
      <c r="M144" s="38">
        <f>SUM(M134:M143)</f>
        <v>16460.88</v>
      </c>
      <c r="N144" s="38">
        <f>SUM(N134:N143)</f>
        <v>13095.119999999999</v>
      </c>
      <c r="O144" s="38">
        <f>SUM(O134:O143)</f>
        <v>11661.16</v>
      </c>
      <c r="P144" s="75">
        <f t="shared" si="56"/>
        <v>21300.25</v>
      </c>
      <c r="Q144" s="75">
        <f>SUM(Q134:Q143)</f>
        <v>20826.760000000002</v>
      </c>
      <c r="R144" s="38">
        <f t="shared" si="56"/>
        <v>434313.63</v>
      </c>
      <c r="S144" s="39"/>
      <c r="T144" s="38">
        <f>SUM(T134:T143)</f>
        <v>481844</v>
      </c>
      <c r="U144" s="38">
        <f>SUM(U134:U143)</f>
        <v>47530.37</v>
      </c>
    </row>
    <row r="145" spans="1:31" ht="11.25" customHeight="1" outlineLevel="2">
      <c r="A145" s="35"/>
      <c r="B145" s="26">
        <v>23220</v>
      </c>
      <c r="C145" s="26">
        <v>319</v>
      </c>
      <c r="D145" s="26" t="s">
        <v>591</v>
      </c>
      <c r="G145" s="21">
        <v>0</v>
      </c>
      <c r="P145" s="74"/>
      <c r="Q145" s="74"/>
      <c r="R145" s="21">
        <f t="shared" ref="R145:R148" si="57">SUM(E145:Q145)-P145</f>
        <v>0</v>
      </c>
      <c r="U145" s="21">
        <f>+T145-R145</f>
        <v>0</v>
      </c>
    </row>
    <row r="146" spans="1:31" ht="21.75" customHeight="1" outlineLevel="2">
      <c r="A146" s="35"/>
      <c r="B146" s="26">
        <v>23220</v>
      </c>
      <c r="C146" s="26">
        <v>540</v>
      </c>
      <c r="D146" s="26" t="s">
        <v>592</v>
      </c>
      <c r="E146" s="21">
        <v>6018</v>
      </c>
      <c r="F146" s="21">
        <f>3523+42.99</f>
        <v>3565.99</v>
      </c>
      <c r="G146" s="21">
        <v>0</v>
      </c>
      <c r="I146" s="21">
        <v>997</v>
      </c>
      <c r="J146" s="21">
        <v>858</v>
      </c>
      <c r="K146" s="21">
        <v>8.6300000000000008</v>
      </c>
      <c r="L146" s="21">
        <v>1281.44</v>
      </c>
      <c r="M146" s="21">
        <v>2048</v>
      </c>
      <c r="N146" s="21">
        <v>8201</v>
      </c>
      <c r="P146" s="74"/>
      <c r="Q146" s="74">
        <v>0</v>
      </c>
      <c r="R146" s="21">
        <f t="shared" si="57"/>
        <v>22978.059999999998</v>
      </c>
      <c r="T146" s="21">
        <v>25000</v>
      </c>
      <c r="U146" s="21">
        <f>+T146-R146</f>
        <v>2021.9400000000023</v>
      </c>
      <c r="V146" s="81" t="s">
        <v>593</v>
      </c>
    </row>
    <row r="147" spans="1:31" ht="11.25" customHeight="1" outlineLevel="2">
      <c r="A147" s="35"/>
      <c r="B147" s="26">
        <v>23220</v>
      </c>
      <c r="C147" s="26">
        <v>550</v>
      </c>
      <c r="D147" s="26" t="s">
        <v>594</v>
      </c>
      <c r="G147" s="21">
        <v>0</v>
      </c>
      <c r="P147" s="74"/>
      <c r="Q147" s="74"/>
      <c r="R147" s="21">
        <f t="shared" si="57"/>
        <v>0</v>
      </c>
      <c r="U147" s="21">
        <f>+T147-R147</f>
        <v>0</v>
      </c>
    </row>
    <row r="148" spans="1:31" ht="11.25" customHeight="1" outlineLevel="2">
      <c r="A148" s="35"/>
      <c r="B148" s="26">
        <v>23220</v>
      </c>
      <c r="C148" s="26">
        <v>611</v>
      </c>
      <c r="D148" s="26" t="s">
        <v>506</v>
      </c>
      <c r="F148" s="21">
        <v>69.16</v>
      </c>
      <c r="J148" s="21">
        <v>33.1</v>
      </c>
      <c r="P148" s="74"/>
      <c r="Q148" s="74">
        <v>870</v>
      </c>
      <c r="R148" s="21">
        <f t="shared" si="57"/>
        <v>972.26</v>
      </c>
      <c r="U148" s="21">
        <f>+T148-R148</f>
        <v>-972.26</v>
      </c>
    </row>
    <row r="149" spans="1:31" s="40" customFormat="1" ht="11.25" customHeight="1" outlineLevel="1">
      <c r="A149" s="43" t="s">
        <v>595</v>
      </c>
      <c r="B149" s="44"/>
      <c r="C149" s="44"/>
      <c r="D149" s="44"/>
      <c r="E149" s="38">
        <f t="shared" ref="E149:R149" si="58">SUM(E145:E148)</f>
        <v>6018</v>
      </c>
      <c r="F149" s="38">
        <f t="shared" si="58"/>
        <v>3635.1499999999996</v>
      </c>
      <c r="G149" s="38">
        <f t="shared" si="58"/>
        <v>0</v>
      </c>
      <c r="H149" s="38">
        <f t="shared" si="58"/>
        <v>0</v>
      </c>
      <c r="I149" s="38">
        <f t="shared" si="58"/>
        <v>997</v>
      </c>
      <c r="J149" s="38">
        <f t="shared" si="58"/>
        <v>891.1</v>
      </c>
      <c r="K149" s="38">
        <f t="shared" si="58"/>
        <v>8.6300000000000008</v>
      </c>
      <c r="L149" s="38">
        <f>SUM(L145:L148)</f>
        <v>1281.44</v>
      </c>
      <c r="M149" s="38">
        <f>SUM(M145:M148)</f>
        <v>2048</v>
      </c>
      <c r="N149" s="38">
        <f>SUM(N145:N148)</f>
        <v>8201</v>
      </c>
      <c r="O149" s="38">
        <f>SUM(O145:O148)</f>
        <v>0</v>
      </c>
      <c r="P149" s="75">
        <f t="shared" si="58"/>
        <v>0</v>
      </c>
      <c r="Q149" s="75">
        <f>SUM(Q145:Q148)</f>
        <v>870</v>
      </c>
      <c r="R149" s="38">
        <f t="shared" si="58"/>
        <v>23950.319999999996</v>
      </c>
      <c r="S149" s="39"/>
      <c r="T149" s="38">
        <f>SUM(T145:T148)</f>
        <v>25000</v>
      </c>
      <c r="U149" s="38">
        <f>SUM(U145:U148)</f>
        <v>1049.6800000000023</v>
      </c>
    </row>
    <row r="150" spans="1:31" ht="23.25" customHeight="1" outlineLevel="2">
      <c r="A150" s="35"/>
      <c r="B150" s="26">
        <v>24100</v>
      </c>
      <c r="C150" s="26">
        <v>580</v>
      </c>
      <c r="D150" s="26" t="s">
        <v>504</v>
      </c>
      <c r="E150" s="21">
        <v>0</v>
      </c>
      <c r="F150" s="21">
        <v>766.75</v>
      </c>
      <c r="G150" s="21">
        <v>183.19</v>
      </c>
      <c r="I150" s="21">
        <v>1252.78</v>
      </c>
      <c r="J150" s="21">
        <v>165.6</v>
      </c>
      <c r="K150" s="21">
        <v>572.70000000000005</v>
      </c>
      <c r="L150" s="21">
        <v>390.69</v>
      </c>
      <c r="M150" s="21">
        <v>250.66</v>
      </c>
      <c r="N150" s="21">
        <v>56</v>
      </c>
      <c r="O150" s="21">
        <v>349.27</v>
      </c>
      <c r="P150" s="74"/>
      <c r="Q150" s="74">
        <v>545</v>
      </c>
      <c r="R150" s="21">
        <f t="shared" ref="R150:R154" si="59">SUM(E150:Q150)-P150</f>
        <v>4532.6400000000003</v>
      </c>
      <c r="T150" s="21">
        <v>25000</v>
      </c>
      <c r="U150" s="21">
        <f>+T150-R150</f>
        <v>20467.36</v>
      </c>
      <c r="V150" s="81" t="s">
        <v>596</v>
      </c>
    </row>
    <row r="151" spans="1:31" ht="11.25" customHeight="1" outlineLevel="2">
      <c r="A151" s="35"/>
      <c r="B151" s="26">
        <v>25191</v>
      </c>
      <c r="C151" s="26">
        <v>876</v>
      </c>
      <c r="D151" s="26" t="s">
        <v>597</v>
      </c>
      <c r="P151" s="74"/>
      <c r="Q151" s="74"/>
      <c r="R151" s="21">
        <f t="shared" si="59"/>
        <v>0</v>
      </c>
      <c r="U151" s="21">
        <f>+T151-R151</f>
        <v>0</v>
      </c>
    </row>
    <row r="152" spans="1:31" ht="11.25" customHeight="1" outlineLevel="2">
      <c r="B152" s="26">
        <v>25720</v>
      </c>
      <c r="C152" s="26">
        <v>319</v>
      </c>
      <c r="D152" s="26" t="s">
        <v>598</v>
      </c>
      <c r="J152" s="21">
        <f>7999.98+8000.02</f>
        <v>16000</v>
      </c>
      <c r="P152" s="74"/>
      <c r="Q152" s="74"/>
      <c r="R152" s="21">
        <f t="shared" si="59"/>
        <v>16000</v>
      </c>
      <c r="U152" s="21">
        <f>+T152-R152</f>
        <v>-16000</v>
      </c>
      <c r="V152" s="22" t="s">
        <v>599</v>
      </c>
    </row>
    <row r="153" spans="1:31" ht="11.25" customHeight="1" outlineLevel="2">
      <c r="B153" s="26">
        <v>25720</v>
      </c>
      <c r="C153" s="26">
        <v>319</v>
      </c>
      <c r="D153" s="26" t="s">
        <v>600</v>
      </c>
      <c r="G153" s="21">
        <v>0</v>
      </c>
      <c r="H153" s="21">
        <v>0</v>
      </c>
      <c r="I153" s="21">
        <f>25+315.94</f>
        <v>340.94</v>
      </c>
      <c r="J153" s="21">
        <v>24.9</v>
      </c>
      <c r="L153" s="21">
        <v>0</v>
      </c>
      <c r="M153" s="21">
        <v>153.19999999999999</v>
      </c>
      <c r="O153" s="21">
        <v>142.69999999999999</v>
      </c>
      <c r="P153" s="74">
        <v>416.67</v>
      </c>
      <c r="Q153" s="74">
        <v>0</v>
      </c>
      <c r="R153" s="21">
        <f t="shared" si="59"/>
        <v>661.74</v>
      </c>
      <c r="T153" s="21">
        <v>5000</v>
      </c>
      <c r="U153" s="21">
        <f>+T153-R153</f>
        <v>4338.26</v>
      </c>
      <c r="V153" s="22" t="s">
        <v>601</v>
      </c>
    </row>
    <row r="154" spans="1:31" ht="11.25" customHeight="1" outlineLevel="2">
      <c r="B154" s="26">
        <v>25720</v>
      </c>
      <c r="C154" s="26">
        <v>540</v>
      </c>
      <c r="D154" s="26" t="s">
        <v>602</v>
      </c>
      <c r="P154" s="74"/>
      <c r="Q154" s="74">
        <f>750+52.9</f>
        <v>802.9</v>
      </c>
      <c r="R154" s="21">
        <f t="shared" si="59"/>
        <v>802.9</v>
      </c>
      <c r="U154" s="21">
        <f>+T154-R154</f>
        <v>-802.9</v>
      </c>
      <c r="V154" s="22" t="s">
        <v>601</v>
      </c>
    </row>
    <row r="155" spans="1:31" s="40" customFormat="1" ht="11.25" customHeight="1" outlineLevel="1">
      <c r="A155" s="43" t="s">
        <v>532</v>
      </c>
      <c r="B155" s="44"/>
      <c r="C155" s="44"/>
      <c r="D155" s="44"/>
      <c r="E155" s="38">
        <f t="shared" ref="E155:R155" si="60">SUM(E150:E154)</f>
        <v>0</v>
      </c>
      <c r="F155" s="38">
        <f t="shared" si="60"/>
        <v>766.75</v>
      </c>
      <c r="G155" s="38">
        <f t="shared" si="60"/>
        <v>183.19</v>
      </c>
      <c r="H155" s="38">
        <f t="shared" si="60"/>
        <v>0</v>
      </c>
      <c r="I155" s="38">
        <f t="shared" si="60"/>
        <v>1593.72</v>
      </c>
      <c r="J155" s="38">
        <f t="shared" si="60"/>
        <v>16190.5</v>
      </c>
      <c r="K155" s="38">
        <f t="shared" si="60"/>
        <v>572.70000000000005</v>
      </c>
      <c r="L155" s="38">
        <f>SUM(L150:L154)</f>
        <v>390.69</v>
      </c>
      <c r="M155" s="38">
        <f>SUM(M150:M154)</f>
        <v>403.86</v>
      </c>
      <c r="N155" s="38">
        <f>SUM(N150:N154)</f>
        <v>56</v>
      </c>
      <c r="O155" s="38">
        <f>SUM(O150:O154)</f>
        <v>491.96999999999997</v>
      </c>
      <c r="P155" s="75">
        <f t="shared" si="60"/>
        <v>416.67</v>
      </c>
      <c r="Q155" s="75">
        <f>SUM(Q150:Q154)</f>
        <v>1347.9</v>
      </c>
      <c r="R155" s="38">
        <f t="shared" si="60"/>
        <v>21997.280000000002</v>
      </c>
      <c r="S155" s="39"/>
      <c r="T155" s="38">
        <f>SUM(T150:T154)</f>
        <v>30000</v>
      </c>
      <c r="U155" s="38">
        <f>SUM(U150:U154)</f>
        <v>8002.7200000000012</v>
      </c>
    </row>
    <row r="156" spans="1:31" s="40" customFormat="1" ht="11.25" customHeight="1">
      <c r="A156" s="36" t="s">
        <v>603</v>
      </c>
      <c r="B156" s="44"/>
      <c r="C156" s="44"/>
      <c r="D156" s="44"/>
      <c r="E156" s="38">
        <f t="shared" ref="E156:R156" si="61">E112+E126+E133+E144+E149+E155</f>
        <v>171285.83</v>
      </c>
      <c r="F156" s="38">
        <f t="shared" si="61"/>
        <v>61069.140000000007</v>
      </c>
      <c r="G156" s="38">
        <f t="shared" si="61"/>
        <v>61691.62</v>
      </c>
      <c r="H156" s="38">
        <f t="shared" si="61"/>
        <v>114052.37000000001</v>
      </c>
      <c r="I156" s="38">
        <f t="shared" si="61"/>
        <v>59555.45</v>
      </c>
      <c r="J156" s="38">
        <f t="shared" si="61"/>
        <v>165580.69</v>
      </c>
      <c r="K156" s="38">
        <f t="shared" si="61"/>
        <v>56171.21</v>
      </c>
      <c r="L156" s="38">
        <f t="shared" si="61"/>
        <v>54072.11</v>
      </c>
      <c r="M156" s="38">
        <f>M112+M126+M133+M144+M149+M155</f>
        <v>61184.850000000006</v>
      </c>
      <c r="N156" s="38">
        <f>N112+N126+N133+N144+N149+N155</f>
        <v>57070.78</v>
      </c>
      <c r="O156" s="38">
        <f>O112+O126+O133+O144+O149+O155</f>
        <v>48775.380000000005</v>
      </c>
      <c r="P156" s="75">
        <f t="shared" si="61"/>
        <v>57127.79</v>
      </c>
      <c r="Q156" s="75">
        <f>Q112+Q126+Q133+Q144+Q149+Q155</f>
        <v>59905.210000000006</v>
      </c>
      <c r="R156" s="38">
        <f t="shared" si="61"/>
        <v>970414.6399999999</v>
      </c>
      <c r="S156" s="39"/>
      <c r="T156" s="38">
        <f>T112+T126+T133+T144+T149+T155</f>
        <v>996746</v>
      </c>
      <c r="U156" s="38">
        <f>U112+U126+U133+U144+U149+U155</f>
        <v>26331.360000000044</v>
      </c>
    </row>
    <row r="157" spans="1:31" ht="11.25" customHeight="1">
      <c r="P157" s="74"/>
      <c r="Q157" s="74"/>
      <c r="S157" s="39"/>
    </row>
    <row r="158" spans="1:31" ht="11.25" customHeight="1">
      <c r="A158" s="32" t="s">
        <v>604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74"/>
      <c r="Q158" s="74"/>
      <c r="R158" s="34"/>
      <c r="T158" s="34"/>
      <c r="U158" s="34"/>
    </row>
    <row r="159" spans="1:31" ht="27.75" customHeight="1" outlineLevel="2">
      <c r="B159" s="26">
        <v>46000</v>
      </c>
      <c r="C159" s="26">
        <v>611</v>
      </c>
      <c r="D159" s="26" t="s">
        <v>605</v>
      </c>
      <c r="P159" s="74"/>
      <c r="Q159" s="74"/>
      <c r="R159" s="21">
        <f t="shared" ref="R159:R161" si="62">SUM(E159:Q159)-P159</f>
        <v>0</v>
      </c>
      <c r="U159" s="21">
        <f>+T159-R159</f>
        <v>0</v>
      </c>
      <c r="V159" s="62" t="s">
        <v>606</v>
      </c>
      <c r="W159" s="62"/>
      <c r="X159" s="62"/>
      <c r="Y159" s="60"/>
      <c r="Z159" s="60"/>
      <c r="AA159" s="60"/>
      <c r="AB159" s="60"/>
      <c r="AC159" s="60"/>
      <c r="AD159" s="60"/>
      <c r="AE159" s="60"/>
    </row>
    <row r="160" spans="1:31" ht="11.25" customHeight="1" outlineLevel="2">
      <c r="A160" s="35"/>
      <c r="B160" s="26">
        <v>26200</v>
      </c>
      <c r="C160" s="26">
        <v>611</v>
      </c>
      <c r="D160" s="26" t="s">
        <v>607</v>
      </c>
      <c r="E160" s="21">
        <v>694.55</v>
      </c>
      <c r="F160" s="21">
        <v>2058.79</v>
      </c>
      <c r="G160" s="21">
        <v>1262.5899999999999</v>
      </c>
      <c r="H160" s="21">
        <v>0</v>
      </c>
      <c r="I160" s="21">
        <v>1561.76</v>
      </c>
      <c r="J160" s="21">
        <v>1047.9000000000001</v>
      </c>
      <c r="K160" s="21">
        <v>566.83000000000004</v>
      </c>
      <c r="L160" s="21">
        <v>1483.87</v>
      </c>
      <c r="M160" s="21">
        <v>441.98</v>
      </c>
      <c r="N160" s="21">
        <v>1654.22</v>
      </c>
      <c r="O160" s="21">
        <v>579.79999999999995</v>
      </c>
      <c r="P160" s="74">
        <v>1250</v>
      </c>
      <c r="Q160" s="74">
        <v>1166.1500000000001</v>
      </c>
      <c r="R160" s="21">
        <f t="shared" si="62"/>
        <v>12518.439999999999</v>
      </c>
      <c r="T160" s="21">
        <v>15000</v>
      </c>
      <c r="U160" s="21">
        <f>+T160-R160</f>
        <v>2481.5600000000013</v>
      </c>
      <c r="V160" s="22" t="s">
        <v>608</v>
      </c>
    </row>
    <row r="161" spans="1:28" ht="11.25" customHeight="1" outlineLevel="2">
      <c r="A161" s="35"/>
      <c r="B161" s="26">
        <v>26300</v>
      </c>
      <c r="C161" s="26">
        <v>611</v>
      </c>
      <c r="D161" s="26" t="s">
        <v>609</v>
      </c>
      <c r="P161" s="74"/>
      <c r="Q161" s="74"/>
      <c r="R161" s="21">
        <f t="shared" si="62"/>
        <v>0</v>
      </c>
      <c r="U161" s="21">
        <f>+T161-R161</f>
        <v>0</v>
      </c>
      <c r="V161" s="22" t="s">
        <v>610</v>
      </c>
    </row>
    <row r="162" spans="1:28" s="40" customFormat="1" ht="11.25" customHeight="1" outlineLevel="1">
      <c r="A162" s="43" t="s">
        <v>572</v>
      </c>
      <c r="B162" s="44"/>
      <c r="C162" s="44"/>
      <c r="D162" s="44"/>
      <c r="E162" s="38">
        <f t="shared" ref="E162:R162" si="63">SUM(E159:E161)</f>
        <v>694.55</v>
      </c>
      <c r="F162" s="38">
        <f t="shared" si="63"/>
        <v>2058.79</v>
      </c>
      <c r="G162" s="38">
        <f t="shared" si="63"/>
        <v>1262.5899999999999</v>
      </c>
      <c r="H162" s="38">
        <f t="shared" si="63"/>
        <v>0</v>
      </c>
      <c r="I162" s="38">
        <f t="shared" si="63"/>
        <v>1561.76</v>
      </c>
      <c r="J162" s="38">
        <f t="shared" si="63"/>
        <v>1047.9000000000001</v>
      </c>
      <c r="K162" s="38">
        <f t="shared" si="63"/>
        <v>566.83000000000004</v>
      </c>
      <c r="L162" s="38">
        <f>SUM(L159:L161)</f>
        <v>1483.87</v>
      </c>
      <c r="M162" s="38">
        <f>SUM(M159:M161)</f>
        <v>441.98</v>
      </c>
      <c r="N162" s="38">
        <f>SUM(N159:N161)</f>
        <v>1654.22</v>
      </c>
      <c r="O162" s="38">
        <f>SUM(O159:O161)</f>
        <v>579.79999999999995</v>
      </c>
      <c r="P162" s="75">
        <f t="shared" si="63"/>
        <v>1250</v>
      </c>
      <c r="Q162" s="75">
        <f>SUM(Q159:Q161)</f>
        <v>1166.1500000000001</v>
      </c>
      <c r="R162" s="38">
        <f t="shared" si="63"/>
        <v>12518.439999999999</v>
      </c>
      <c r="S162" s="39"/>
      <c r="T162" s="38">
        <f>SUM(T159:T161)</f>
        <v>15000</v>
      </c>
      <c r="U162" s="38">
        <f>SUM(U159:U161)</f>
        <v>2481.5600000000013</v>
      </c>
    </row>
    <row r="163" spans="1:28" ht="11.25" customHeight="1" outlineLevel="2">
      <c r="A163" s="35"/>
      <c r="B163" s="26">
        <v>26200</v>
      </c>
      <c r="C163" s="26">
        <v>441</v>
      </c>
      <c r="D163" s="26" t="s">
        <v>611</v>
      </c>
      <c r="E163" s="21">
        <v>17519.95</v>
      </c>
      <c r="F163" s="21">
        <v>17519.95</v>
      </c>
      <c r="G163" s="21">
        <v>17519.95</v>
      </c>
      <c r="H163" s="21">
        <v>17519.95</v>
      </c>
      <c r="I163" s="21">
        <v>17519.95</v>
      </c>
      <c r="J163" s="21">
        <v>17519.95</v>
      </c>
      <c r="K163" s="21">
        <v>17519.95</v>
      </c>
      <c r="L163" s="21">
        <v>17519.95</v>
      </c>
      <c r="M163" s="21">
        <v>17519.95</v>
      </c>
      <c r="N163" s="21">
        <v>17519.95</v>
      </c>
      <c r="O163" s="21">
        <v>17519.95</v>
      </c>
      <c r="P163" s="74">
        <v>18373.919999999998</v>
      </c>
      <c r="Q163" s="74">
        <v>17519.95</v>
      </c>
      <c r="R163" s="21">
        <f t="shared" ref="R163:R165" si="64">SUM(E163:Q163)-P163</f>
        <v>210239.40000000008</v>
      </c>
      <c r="T163" s="21">
        <v>220487</v>
      </c>
      <c r="U163" s="21">
        <f>+T163-R163</f>
        <v>10247.599999999919</v>
      </c>
      <c r="V163" s="22" t="s">
        <v>612</v>
      </c>
    </row>
    <row r="164" spans="1:28" ht="11.25" customHeight="1" outlineLevel="2">
      <c r="B164" s="26">
        <v>26400</v>
      </c>
      <c r="C164" s="26">
        <v>444</v>
      </c>
      <c r="D164" s="26" t="s">
        <v>613</v>
      </c>
      <c r="P164" s="74"/>
      <c r="Q164" s="74"/>
      <c r="R164" s="21">
        <f t="shared" si="64"/>
        <v>0</v>
      </c>
      <c r="U164" s="21">
        <f>+T164-R164</f>
        <v>0</v>
      </c>
    </row>
    <row r="165" spans="1:28" ht="27.75" customHeight="1" outlineLevel="2">
      <c r="A165" s="35"/>
      <c r="B165" s="26">
        <v>45100</v>
      </c>
      <c r="C165" s="26">
        <v>715</v>
      </c>
      <c r="D165" s="26" t="s">
        <v>614</v>
      </c>
      <c r="E165" s="21">
        <v>0</v>
      </c>
      <c r="I165" s="21">
        <v>24369.119999999999</v>
      </c>
      <c r="P165" s="74"/>
      <c r="Q165" s="74"/>
      <c r="R165" s="21">
        <f t="shared" si="64"/>
        <v>24369.119999999999</v>
      </c>
      <c r="U165" s="21">
        <f>+T165-R165</f>
        <v>-24369.119999999999</v>
      </c>
      <c r="V165" s="62" t="s">
        <v>615</v>
      </c>
      <c r="W165" s="60"/>
      <c r="X165" s="60"/>
      <c r="Y165" s="60"/>
      <c r="Z165" s="60"/>
      <c r="AA165" s="60"/>
      <c r="AB165" s="60"/>
    </row>
    <row r="166" spans="1:28" s="40" customFormat="1" ht="11.25" customHeight="1" outlineLevel="1">
      <c r="A166" s="43" t="s">
        <v>616</v>
      </c>
      <c r="B166" s="44"/>
      <c r="C166" s="44"/>
      <c r="D166" s="44"/>
      <c r="E166" s="38">
        <f t="shared" ref="E166:R166" si="65">SUM(E163:E165)</f>
        <v>17519.95</v>
      </c>
      <c r="F166" s="38">
        <f t="shared" si="65"/>
        <v>17519.95</v>
      </c>
      <c r="G166" s="38">
        <f t="shared" si="65"/>
        <v>17519.95</v>
      </c>
      <c r="H166" s="38">
        <f t="shared" si="65"/>
        <v>17519.95</v>
      </c>
      <c r="I166" s="38">
        <f t="shared" si="65"/>
        <v>41889.07</v>
      </c>
      <c r="J166" s="38">
        <f t="shared" si="65"/>
        <v>17519.95</v>
      </c>
      <c r="K166" s="38">
        <f t="shared" si="65"/>
        <v>17519.95</v>
      </c>
      <c r="L166" s="38">
        <f>SUM(L163:L165)</f>
        <v>17519.95</v>
      </c>
      <c r="M166" s="38">
        <f>SUM(M163:M165)</f>
        <v>17519.95</v>
      </c>
      <c r="N166" s="38">
        <f>SUM(N163:N165)</f>
        <v>17519.95</v>
      </c>
      <c r="O166" s="38">
        <f>SUM(O163:O165)</f>
        <v>17519.95</v>
      </c>
      <c r="P166" s="75">
        <f t="shared" si="65"/>
        <v>18373.919999999998</v>
      </c>
      <c r="Q166" s="75">
        <f>SUM(Q163:Q165)</f>
        <v>17519.95</v>
      </c>
      <c r="R166" s="38">
        <f t="shared" si="65"/>
        <v>234608.52000000008</v>
      </c>
      <c r="S166" s="39"/>
      <c r="T166" s="38">
        <f>SUM(T163:T165)</f>
        <v>220487</v>
      </c>
      <c r="U166" s="38">
        <f>SUM(U163:U165)</f>
        <v>-14121.52000000008</v>
      </c>
    </row>
    <row r="167" spans="1:28" ht="11.25" customHeight="1" outlineLevel="2">
      <c r="A167" s="35"/>
      <c r="B167" s="26">
        <v>26200</v>
      </c>
      <c r="C167" s="26">
        <v>120</v>
      </c>
      <c r="D167" s="26" t="s">
        <v>617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2523.09</v>
      </c>
      <c r="K167" s="21">
        <v>0</v>
      </c>
      <c r="L167" s="21">
        <v>0</v>
      </c>
      <c r="N167" s="21">
        <f>3018.82-2333</f>
        <v>685.82000000000016</v>
      </c>
      <c r="O167" s="21">
        <v>0</v>
      </c>
      <c r="P167" s="74">
        <v>901.33</v>
      </c>
      <c r="Q167" s="74">
        <v>0</v>
      </c>
      <c r="R167" s="21">
        <f t="shared" ref="R167:R177" si="66">SUM(E167:Q167)-P167</f>
        <v>3208.9100000000008</v>
      </c>
      <c r="T167" s="21">
        <v>10816</v>
      </c>
      <c r="U167" s="21">
        <f t="shared" ref="U167:U177" si="67">+T167-R167</f>
        <v>7607.0899999999992</v>
      </c>
      <c r="V167" s="22" t="s">
        <v>618</v>
      </c>
    </row>
    <row r="168" spans="1:28" ht="11.25" customHeight="1" outlineLevel="2">
      <c r="A168" s="35"/>
      <c r="B168" s="26">
        <v>26200</v>
      </c>
      <c r="C168" s="26">
        <v>211</v>
      </c>
      <c r="D168" s="26" t="s">
        <v>553</v>
      </c>
      <c r="F168" s="21">
        <v>202.64</v>
      </c>
      <c r="G168" s="21">
        <v>204.97</v>
      </c>
      <c r="H168" s="21">
        <v>182.02</v>
      </c>
      <c r="I168" s="21">
        <f>213.23-87.37</f>
        <v>125.85999999999999</v>
      </c>
      <c r="J168" s="21">
        <f>186.33-87.37</f>
        <v>98.960000000000008</v>
      </c>
      <c r="K168" s="21">
        <f>152.25-87.37</f>
        <v>64.88</v>
      </c>
      <c r="M168" s="21">
        <v>156.28</v>
      </c>
      <c r="N168" s="21">
        <f>224.26-87.37</f>
        <v>136.88999999999999</v>
      </c>
      <c r="O168" s="21">
        <f>232.36-87.37</f>
        <v>144.99</v>
      </c>
      <c r="P168" s="74">
        <v>63.09</v>
      </c>
      <c r="Q168" s="74">
        <f>254.93-43.68-153</f>
        <v>58.25</v>
      </c>
      <c r="R168" s="21">
        <f t="shared" si="66"/>
        <v>1375.74</v>
      </c>
      <c r="T168" s="21">
        <v>757</v>
      </c>
      <c r="U168" s="21">
        <f t="shared" si="67"/>
        <v>-618.74</v>
      </c>
      <c r="V168" s="22" t="s">
        <v>619</v>
      </c>
    </row>
    <row r="169" spans="1:28" ht="11.25" customHeight="1" outlineLevel="2">
      <c r="A169" s="35"/>
      <c r="B169" s="26">
        <v>26200</v>
      </c>
      <c r="C169" s="26">
        <v>290</v>
      </c>
      <c r="D169" s="26" t="s">
        <v>480</v>
      </c>
      <c r="P169" s="74"/>
      <c r="Q169" s="74"/>
      <c r="R169" s="21">
        <f t="shared" si="66"/>
        <v>0</v>
      </c>
      <c r="U169" s="21">
        <f t="shared" si="67"/>
        <v>0</v>
      </c>
      <c r="V169" s="22" t="s">
        <v>620</v>
      </c>
    </row>
    <row r="170" spans="1:28" ht="11.25" customHeight="1" outlineLevel="2">
      <c r="A170" s="35"/>
      <c r="B170" s="26">
        <v>26200</v>
      </c>
      <c r="C170" s="26">
        <v>420</v>
      </c>
      <c r="D170" s="26" t="s">
        <v>621</v>
      </c>
      <c r="E170" s="21">
        <v>291.16000000000003</v>
      </c>
      <c r="F170" s="21">
        <f>6800+2648.86</f>
        <v>9448.86</v>
      </c>
      <c r="G170" s="21">
        <f>6350+2679.32</f>
        <v>9029.32</v>
      </c>
      <c r="H170" s="21">
        <f>12110+2379.38</f>
        <v>14489.380000000001</v>
      </c>
      <c r="I170" s="21">
        <f>6000+2874.72</f>
        <v>8874.7199999999993</v>
      </c>
      <c r="J170" s="21">
        <v>6000</v>
      </c>
      <c r="K170" s="21">
        <f>6000+2077.58</f>
        <v>8077.58</v>
      </c>
      <c r="L170" s="21">
        <f>2313.35+0+170.28-87.37</f>
        <v>2396.2600000000002</v>
      </c>
      <c r="M170" s="21">
        <f>2130.39+6000</f>
        <v>8130.3899999999994</v>
      </c>
      <c r="N170" s="21">
        <f>6000+2333</f>
        <v>8333</v>
      </c>
      <c r="O170" s="21">
        <f>4500+3124.79</f>
        <v>7624.79</v>
      </c>
      <c r="P170" s="74">
        <v>8333.33</v>
      </c>
      <c r="Q170" s="74">
        <f>1376.12+500.33</f>
        <v>1876.4499999999998</v>
      </c>
      <c r="R170" s="21">
        <f t="shared" si="66"/>
        <v>84571.91</v>
      </c>
      <c r="T170" s="21">
        <v>100000</v>
      </c>
      <c r="U170" s="21">
        <f t="shared" si="67"/>
        <v>15428.089999999997</v>
      </c>
      <c r="V170" s="22" t="s">
        <v>622</v>
      </c>
    </row>
    <row r="171" spans="1:28" ht="11.25" customHeight="1" outlineLevel="2">
      <c r="A171" s="35"/>
      <c r="B171" s="26">
        <v>26200</v>
      </c>
      <c r="C171" s="26">
        <v>431</v>
      </c>
      <c r="D171" s="26" t="s">
        <v>623</v>
      </c>
      <c r="E171" s="21">
        <f>6963.33+14000</f>
        <v>20963.330000000002</v>
      </c>
      <c r="F171" s="21">
        <f>2168.86+500+16136.65+48464.91</f>
        <v>67270.42</v>
      </c>
      <c r="G171" s="21">
        <f>18536.77+3650-13184</f>
        <v>9002.77</v>
      </c>
      <c r="H171" s="21">
        <f>3329.26+3000</f>
        <v>6329.26</v>
      </c>
      <c r="I171" s="21">
        <f>2404+489+1704</f>
        <v>4597</v>
      </c>
      <c r="J171" s="21">
        <v>33825.56</v>
      </c>
      <c r="K171" s="21">
        <v>3136.45</v>
      </c>
      <c r="L171" s="21">
        <v>0</v>
      </c>
      <c r="M171" s="21">
        <f>4925+7897.17</f>
        <v>12822.17</v>
      </c>
      <c r="N171" s="21">
        <v>4629.12</v>
      </c>
      <c r="O171" s="21">
        <v>0</v>
      </c>
      <c r="P171" s="74">
        <v>250</v>
      </c>
      <c r="Q171" s="74">
        <f>1147+7640.85</f>
        <v>8787.85</v>
      </c>
      <c r="R171" s="21">
        <f t="shared" si="66"/>
        <v>171363.93000000002</v>
      </c>
      <c r="T171" s="21">
        <v>75000</v>
      </c>
      <c r="U171" s="21">
        <f t="shared" si="67"/>
        <v>-96363.930000000022</v>
      </c>
      <c r="V171" s="22" t="s">
        <v>624</v>
      </c>
    </row>
    <row r="172" spans="1:28" ht="11.25" customHeight="1" outlineLevel="2">
      <c r="A172" s="35"/>
      <c r="B172" s="26">
        <v>26400</v>
      </c>
      <c r="C172" s="26">
        <v>431</v>
      </c>
      <c r="D172" s="26" t="s">
        <v>625</v>
      </c>
      <c r="P172" s="74"/>
      <c r="Q172" s="74"/>
      <c r="R172" s="21">
        <f t="shared" si="66"/>
        <v>0</v>
      </c>
      <c r="U172" s="21">
        <f t="shared" si="67"/>
        <v>0</v>
      </c>
      <c r="V172" s="22" t="s">
        <v>626</v>
      </c>
    </row>
    <row r="173" spans="1:28" ht="11.25" customHeight="1" outlineLevel="2">
      <c r="A173" s="35"/>
      <c r="B173" s="26">
        <v>26200</v>
      </c>
      <c r="C173" s="26">
        <v>412</v>
      </c>
      <c r="D173" s="26" t="s">
        <v>627</v>
      </c>
      <c r="E173" s="21">
        <v>894.85</v>
      </c>
      <c r="F173" s="21">
        <v>2284.1</v>
      </c>
      <c r="H173" s="21">
        <v>3352.94</v>
      </c>
      <c r="J173" s="21">
        <v>4133.3900000000003</v>
      </c>
      <c r="K173" s="21">
        <v>1292.04</v>
      </c>
      <c r="L173" s="21">
        <v>444.84</v>
      </c>
      <c r="M173" s="21">
        <v>1473.85</v>
      </c>
      <c r="N173" s="21">
        <v>1547.39</v>
      </c>
      <c r="O173" s="21">
        <v>1435.24</v>
      </c>
      <c r="P173" s="74">
        <v>885.33</v>
      </c>
      <c r="Q173" s="74">
        <v>1812.59</v>
      </c>
      <c r="R173" s="21">
        <f t="shared" si="66"/>
        <v>18671.23</v>
      </c>
      <c r="T173" s="21">
        <v>10624</v>
      </c>
      <c r="U173" s="21">
        <f t="shared" si="67"/>
        <v>-8047.23</v>
      </c>
      <c r="V173" s="22" t="s">
        <v>628</v>
      </c>
    </row>
    <row r="174" spans="1:28" ht="11.25" customHeight="1" outlineLevel="2">
      <c r="A174" s="35"/>
      <c r="B174" s="26">
        <v>26300</v>
      </c>
      <c r="C174" s="26">
        <v>319</v>
      </c>
      <c r="D174" s="26" t="s">
        <v>629</v>
      </c>
      <c r="E174" s="21">
        <v>1000</v>
      </c>
      <c r="F174" s="21">
        <v>2400</v>
      </c>
      <c r="G174" s="21">
        <v>1200</v>
      </c>
      <c r="H174" s="21">
        <v>1200</v>
      </c>
      <c r="J174" s="21">
        <v>1900</v>
      </c>
      <c r="K174" s="21">
        <v>0</v>
      </c>
      <c r="M174" s="21">
        <v>890</v>
      </c>
      <c r="N174" s="21">
        <v>0</v>
      </c>
      <c r="O174" s="21">
        <v>1200</v>
      </c>
      <c r="P174" s="74">
        <v>1082</v>
      </c>
      <c r="Q174" s="74">
        <v>1200</v>
      </c>
      <c r="R174" s="21">
        <f t="shared" si="66"/>
        <v>10990</v>
      </c>
      <c r="T174" s="21">
        <v>12984</v>
      </c>
      <c r="U174" s="21">
        <f t="shared" si="67"/>
        <v>1994</v>
      </c>
      <c r="V174" s="22" t="s">
        <v>630</v>
      </c>
    </row>
    <row r="175" spans="1:28" ht="11.25" customHeight="1" outlineLevel="2">
      <c r="A175" s="35"/>
      <c r="B175" s="26">
        <v>26300</v>
      </c>
      <c r="C175" s="26">
        <v>431</v>
      </c>
      <c r="D175" s="26" t="s">
        <v>631</v>
      </c>
      <c r="P175" s="74"/>
      <c r="Q175" s="74"/>
      <c r="R175" s="21">
        <f t="shared" si="66"/>
        <v>0</v>
      </c>
      <c r="U175" s="21">
        <f t="shared" si="67"/>
        <v>0</v>
      </c>
    </row>
    <row r="176" spans="1:28" ht="11.25" customHeight="1" outlineLevel="2">
      <c r="A176" s="35"/>
      <c r="B176" s="26">
        <v>26600</v>
      </c>
      <c r="C176" s="26">
        <v>319</v>
      </c>
      <c r="D176" s="26" t="s">
        <v>632</v>
      </c>
      <c r="P176" s="74"/>
      <c r="Q176" s="74"/>
      <c r="R176" s="21">
        <f t="shared" si="66"/>
        <v>0</v>
      </c>
      <c r="U176" s="21">
        <f t="shared" si="67"/>
        <v>0</v>
      </c>
    </row>
    <row r="177" spans="1:26" ht="11.25" customHeight="1" outlineLevel="2">
      <c r="A177" s="35"/>
      <c r="B177" s="26">
        <v>26600</v>
      </c>
      <c r="C177" s="26">
        <v>530</v>
      </c>
      <c r="D177" s="26" t="s">
        <v>633</v>
      </c>
      <c r="H177" s="21">
        <v>147</v>
      </c>
      <c r="J177" s="21">
        <v>294</v>
      </c>
      <c r="L177" s="21">
        <v>382</v>
      </c>
      <c r="P177" s="74"/>
      <c r="Q177" s="74">
        <v>292.5</v>
      </c>
      <c r="R177" s="21">
        <f t="shared" si="66"/>
        <v>1115.5</v>
      </c>
      <c r="U177" s="21">
        <f t="shared" si="67"/>
        <v>-1115.5</v>
      </c>
      <c r="V177" s="22" t="s">
        <v>634</v>
      </c>
    </row>
    <row r="178" spans="1:26" s="40" customFormat="1" ht="11.25" customHeight="1" outlineLevel="1">
      <c r="A178" s="43" t="s">
        <v>503</v>
      </c>
      <c r="B178" s="44"/>
      <c r="C178" s="44"/>
      <c r="D178" s="44"/>
      <c r="E178" s="38">
        <f t="shared" ref="E178:P178" si="68">SUM(E167:E177)</f>
        <v>23149.34</v>
      </c>
      <c r="F178" s="38">
        <f t="shared" si="68"/>
        <v>81606.02</v>
      </c>
      <c r="G178" s="38">
        <f t="shared" si="68"/>
        <v>19437.059999999998</v>
      </c>
      <c r="H178" s="38">
        <f t="shared" si="68"/>
        <v>25700.600000000002</v>
      </c>
      <c r="I178" s="38">
        <f t="shared" si="68"/>
        <v>13597.58</v>
      </c>
      <c r="J178" s="38">
        <f t="shared" si="68"/>
        <v>48775</v>
      </c>
      <c r="K178" s="38">
        <f t="shared" si="68"/>
        <v>12570.95</v>
      </c>
      <c r="L178" s="38">
        <f>SUM(L167:L177)</f>
        <v>3223.1000000000004</v>
      </c>
      <c r="M178" s="38">
        <f>SUM(M167:M177)</f>
        <v>23472.69</v>
      </c>
      <c r="N178" s="38">
        <f>SUM(N167:N177)</f>
        <v>15332.220000000001</v>
      </c>
      <c r="O178" s="38">
        <f>SUM(O167:O177)</f>
        <v>10405.02</v>
      </c>
      <c r="P178" s="75">
        <f t="shared" si="68"/>
        <v>11515.08</v>
      </c>
      <c r="Q178" s="75">
        <f>SUM(Q167:Q177)</f>
        <v>14027.64</v>
      </c>
      <c r="R178" s="38">
        <f>SUM(R167:R177)</f>
        <v>291297.22000000003</v>
      </c>
      <c r="S178" s="39"/>
      <c r="T178" s="38">
        <f>SUM(T167:T177)</f>
        <v>210181</v>
      </c>
      <c r="U178" s="38">
        <f>SUM(U167:U177)</f>
        <v>-81116.220000000016</v>
      </c>
    </row>
    <row r="179" spans="1:26" ht="11.25" customHeight="1" outlineLevel="2">
      <c r="A179" s="35"/>
      <c r="B179" s="26">
        <v>24100</v>
      </c>
      <c r="C179" s="26">
        <v>530</v>
      </c>
      <c r="D179" s="26" t="s">
        <v>635</v>
      </c>
      <c r="E179" s="21">
        <v>719.99</v>
      </c>
      <c r="F179" s="21">
        <v>0</v>
      </c>
      <c r="J179" s="21">
        <v>2112</v>
      </c>
      <c r="K179" s="21">
        <v>11177</v>
      </c>
      <c r="L179" s="21">
        <v>561.86</v>
      </c>
      <c r="P179" s="74"/>
      <c r="Q179" s="74"/>
      <c r="R179" s="21">
        <f t="shared" ref="R179:R186" si="69">SUM(E179:Q179)-P179</f>
        <v>14570.85</v>
      </c>
      <c r="U179" s="21">
        <f>+T179-R179</f>
        <v>-14570.85</v>
      </c>
      <c r="V179" s="22" t="s">
        <v>636</v>
      </c>
    </row>
    <row r="180" spans="1:26" ht="11.25" customHeight="1" outlineLevel="2">
      <c r="A180" s="35"/>
      <c r="B180" s="26">
        <v>26200</v>
      </c>
      <c r="C180" s="26">
        <v>621</v>
      </c>
      <c r="D180" s="26" t="s">
        <v>637</v>
      </c>
      <c r="E180" s="21">
        <v>5849.82</v>
      </c>
      <c r="F180" s="21">
        <v>6255.52</v>
      </c>
      <c r="G180" s="21">
        <v>6175.87</v>
      </c>
      <c r="H180" s="21">
        <v>5422.69</v>
      </c>
      <c r="J180" s="21">
        <v>8053.84</v>
      </c>
      <c r="K180" s="21">
        <v>3503.39</v>
      </c>
      <c r="L180" s="21">
        <v>0</v>
      </c>
      <c r="M180" s="21">
        <v>6764.47</v>
      </c>
      <c r="N180" s="21">
        <v>4034.16</v>
      </c>
      <c r="O180" s="21">
        <v>4768.97</v>
      </c>
      <c r="P180" s="74">
        <v>4430.25</v>
      </c>
      <c r="Q180" s="74">
        <v>5068.0600000000004</v>
      </c>
      <c r="R180" s="21">
        <f t="shared" si="69"/>
        <v>55896.789999999994</v>
      </c>
      <c r="T180" s="21">
        <v>53163</v>
      </c>
      <c r="U180" s="21">
        <f t="shared" ref="U180:U183" si="70">+T180-R180</f>
        <v>-2733.7899999999936</v>
      </c>
      <c r="V180" s="22" t="s">
        <v>638</v>
      </c>
    </row>
    <row r="181" spans="1:26" ht="11.25" customHeight="1" outlineLevel="2">
      <c r="A181" s="35"/>
      <c r="B181" s="26">
        <v>26200</v>
      </c>
      <c r="C181" s="26">
        <v>622</v>
      </c>
      <c r="D181" s="26" t="s">
        <v>639</v>
      </c>
      <c r="F181" s="21">
        <v>546.41999999999996</v>
      </c>
      <c r="G181" s="21">
        <v>1271.44</v>
      </c>
      <c r="H181" s="21">
        <v>738.89</v>
      </c>
      <c r="J181" s="21">
        <v>3737.72</v>
      </c>
      <c r="L181" s="21">
        <v>2473.5</v>
      </c>
      <c r="M181" s="21">
        <v>4321.5</v>
      </c>
      <c r="N181" s="21">
        <v>0</v>
      </c>
      <c r="O181" s="21">
        <v>1207.2</v>
      </c>
      <c r="P181" s="74">
        <v>1668.08</v>
      </c>
      <c r="Q181" s="74">
        <v>1671.5</v>
      </c>
      <c r="R181" s="21">
        <f t="shared" si="69"/>
        <v>15968.17</v>
      </c>
      <c r="T181" s="21">
        <v>20017</v>
      </c>
      <c r="U181" s="21">
        <f t="shared" si="70"/>
        <v>4048.83</v>
      </c>
      <c r="V181" s="22" t="s">
        <v>640</v>
      </c>
    </row>
    <row r="182" spans="1:26" ht="36" customHeight="1" outlineLevel="2">
      <c r="A182" s="35"/>
      <c r="B182" s="26">
        <v>26200</v>
      </c>
      <c r="C182" s="26">
        <v>319</v>
      </c>
      <c r="D182" s="26" t="s">
        <v>641</v>
      </c>
      <c r="E182" s="21">
        <v>48464.91</v>
      </c>
      <c r="F182" s="21">
        <v>-48464.91</v>
      </c>
      <c r="G182" s="21">
        <v>0</v>
      </c>
      <c r="H182" s="21">
        <v>1232.25</v>
      </c>
      <c r="J182" s="21">
        <v>3297.45</v>
      </c>
      <c r="K182" s="21">
        <v>250</v>
      </c>
      <c r="L182" s="21">
        <v>8709.09</v>
      </c>
      <c r="N182" s="21">
        <v>530.25</v>
      </c>
      <c r="O182" s="21">
        <v>2377.5</v>
      </c>
      <c r="P182" s="74"/>
      <c r="Q182" s="74">
        <v>0</v>
      </c>
      <c r="R182" s="21">
        <f t="shared" si="69"/>
        <v>16396.54</v>
      </c>
      <c r="U182" s="21">
        <f t="shared" si="70"/>
        <v>-16396.54</v>
      </c>
      <c r="V182" s="81" t="s">
        <v>642</v>
      </c>
    </row>
    <row r="183" spans="1:26" ht="11.25" customHeight="1" outlineLevel="2">
      <c r="A183" s="35"/>
      <c r="B183" s="26">
        <v>26200</v>
      </c>
      <c r="C183" s="26">
        <v>411</v>
      </c>
      <c r="D183" s="26" t="s">
        <v>643</v>
      </c>
      <c r="E183" s="21">
        <f>+-1348.71</f>
        <v>-1348.71</v>
      </c>
      <c r="G183" s="21">
        <v>0</v>
      </c>
      <c r="H183" s="21">
        <v>0</v>
      </c>
      <c r="N183" s="21">
        <v>4775.76</v>
      </c>
      <c r="P183" s="74">
        <v>135.16999999999999</v>
      </c>
      <c r="Q183" s="74"/>
      <c r="R183" s="21">
        <f t="shared" si="69"/>
        <v>3427.05</v>
      </c>
      <c r="T183" s="21">
        <v>1622</v>
      </c>
      <c r="U183" s="21">
        <f t="shared" si="70"/>
        <v>-1805.0500000000002</v>
      </c>
      <c r="V183" s="22" t="s">
        <v>644</v>
      </c>
    </row>
    <row r="184" spans="1:26" s="40" customFormat="1" ht="11.25" customHeight="1" outlineLevel="1">
      <c r="A184" s="43" t="s">
        <v>645</v>
      </c>
      <c r="B184" s="44"/>
      <c r="C184" s="44"/>
      <c r="D184" s="44"/>
      <c r="E184" s="38">
        <f t="shared" ref="E184:P184" si="71">SUM(E179:E183)</f>
        <v>53686.01</v>
      </c>
      <c r="F184" s="38">
        <f t="shared" si="71"/>
        <v>-41662.97</v>
      </c>
      <c r="G184" s="38">
        <f t="shared" si="71"/>
        <v>7447.3099999999995</v>
      </c>
      <c r="H184" s="38">
        <f t="shared" si="71"/>
        <v>7393.83</v>
      </c>
      <c r="I184" s="38">
        <f t="shared" si="71"/>
        <v>0</v>
      </c>
      <c r="J184" s="38">
        <f t="shared" si="71"/>
        <v>17201.009999999998</v>
      </c>
      <c r="K184" s="38">
        <f t="shared" si="71"/>
        <v>14930.39</v>
      </c>
      <c r="L184" s="38">
        <f>SUM(L179:L183)</f>
        <v>11744.45</v>
      </c>
      <c r="M184" s="38">
        <f>SUM(M179:M183)</f>
        <v>11085.970000000001</v>
      </c>
      <c r="N184" s="38">
        <f>SUM(N179:N183)</f>
        <v>9340.17</v>
      </c>
      <c r="O184" s="38">
        <f>SUM(O179:O183)</f>
        <v>8353.67</v>
      </c>
      <c r="P184" s="75">
        <f t="shared" si="71"/>
        <v>6233.5</v>
      </c>
      <c r="Q184" s="75">
        <f>SUM(Q179:Q183)</f>
        <v>6739.56</v>
      </c>
      <c r="R184" s="38">
        <f t="shared" ref="R184" si="72">SUM(R179:R183)</f>
        <v>106259.40000000001</v>
      </c>
      <c r="S184" s="39"/>
      <c r="T184" s="38">
        <f>SUM(T179:T183)</f>
        <v>74802</v>
      </c>
      <c r="U184" s="38">
        <f>SUM(U179:U183)</f>
        <v>-31457.399999999991</v>
      </c>
    </row>
    <row r="185" spans="1:26" ht="11.25" customHeight="1" outlineLevel="2">
      <c r="A185" s="35"/>
      <c r="B185" s="26">
        <v>26700</v>
      </c>
      <c r="C185" s="26">
        <v>520</v>
      </c>
      <c r="D185" s="26" t="s">
        <v>646</v>
      </c>
      <c r="E185" s="21">
        <v>568.07000000000005</v>
      </c>
      <c r="F185" s="21">
        <v>510.63</v>
      </c>
      <c r="G185" s="21">
        <v>20753.63</v>
      </c>
      <c r="H185" s="21">
        <v>9232.6299999999992</v>
      </c>
      <c r="I185" s="21">
        <v>5605.63</v>
      </c>
      <c r="J185" s="21">
        <v>5095</v>
      </c>
      <c r="K185" s="21">
        <v>5095</v>
      </c>
      <c r="L185" s="21">
        <v>5001.41</v>
      </c>
      <c r="M185" s="21">
        <v>9630</v>
      </c>
      <c r="N185" s="21">
        <v>0</v>
      </c>
      <c r="O185" s="21">
        <v>5057</v>
      </c>
      <c r="P185" s="74">
        <v>3942</v>
      </c>
      <c r="Q185" s="74">
        <v>4047</v>
      </c>
      <c r="R185" s="21">
        <f t="shared" si="69"/>
        <v>70596</v>
      </c>
      <c r="T185" s="21">
        <v>56745</v>
      </c>
      <c r="U185" s="21">
        <f>+T185-R185</f>
        <v>-13851</v>
      </c>
      <c r="V185" s="22" t="s">
        <v>647</v>
      </c>
    </row>
    <row r="186" spans="1:26" ht="11.25" customHeight="1" outlineLevel="2">
      <c r="A186" s="35"/>
      <c r="B186" s="26">
        <v>26700</v>
      </c>
      <c r="C186" s="26">
        <v>525</v>
      </c>
      <c r="D186" s="26" t="s">
        <v>648</v>
      </c>
      <c r="P186" s="74"/>
      <c r="Q186" s="74"/>
      <c r="R186" s="21">
        <f t="shared" si="69"/>
        <v>0</v>
      </c>
      <c r="U186" s="21">
        <f>+T186-R186</f>
        <v>0</v>
      </c>
    </row>
    <row r="187" spans="1:26" s="40" customFormat="1" ht="11.25" customHeight="1" outlineLevel="1">
      <c r="A187" s="36" t="s">
        <v>649</v>
      </c>
      <c r="B187" s="44"/>
      <c r="C187" s="44"/>
      <c r="D187" s="44"/>
      <c r="E187" s="38">
        <f t="shared" ref="E187:R187" si="73">SUM(E185:E186)</f>
        <v>568.07000000000005</v>
      </c>
      <c r="F187" s="38">
        <f t="shared" si="73"/>
        <v>510.63</v>
      </c>
      <c r="G187" s="38">
        <f t="shared" si="73"/>
        <v>20753.63</v>
      </c>
      <c r="H187" s="38">
        <f t="shared" si="73"/>
        <v>9232.6299999999992</v>
      </c>
      <c r="I187" s="38">
        <f t="shared" si="73"/>
        <v>5605.63</v>
      </c>
      <c r="J187" s="38">
        <f t="shared" si="73"/>
        <v>5095</v>
      </c>
      <c r="K187" s="38">
        <f t="shared" si="73"/>
        <v>5095</v>
      </c>
      <c r="L187" s="38">
        <f t="shared" si="73"/>
        <v>5001.41</v>
      </c>
      <c r="M187" s="38">
        <f>SUM(M185:M186)</f>
        <v>9630</v>
      </c>
      <c r="N187" s="38">
        <f>SUM(N185:N186)</f>
        <v>0</v>
      </c>
      <c r="O187" s="38">
        <f>SUM(O185:O186)</f>
        <v>5057</v>
      </c>
      <c r="P187" s="75">
        <f t="shared" si="73"/>
        <v>3942</v>
      </c>
      <c r="Q187" s="75">
        <f>SUM(Q185:Q186)</f>
        <v>4047</v>
      </c>
      <c r="R187" s="38">
        <f t="shared" si="73"/>
        <v>70596</v>
      </c>
      <c r="S187" s="39"/>
      <c r="T187" s="38">
        <f>SUM(T185:T186)</f>
        <v>56745</v>
      </c>
      <c r="U187" s="38">
        <f>SUM(U185:U186)</f>
        <v>-13851</v>
      </c>
    </row>
    <row r="188" spans="1:26" s="40" customFormat="1" ht="11.25" customHeight="1">
      <c r="A188" s="36" t="s">
        <v>650</v>
      </c>
      <c r="B188" s="44"/>
      <c r="C188" s="44"/>
      <c r="D188" s="44"/>
      <c r="E188" s="38">
        <f t="shared" ref="E188:R188" si="74">E162+E166+E178+E184+E187</f>
        <v>95617.920000000013</v>
      </c>
      <c r="F188" s="38">
        <f t="shared" si="74"/>
        <v>60032.420000000006</v>
      </c>
      <c r="G188" s="38">
        <f t="shared" si="74"/>
        <v>66420.539999999994</v>
      </c>
      <c r="H188" s="38">
        <f t="shared" si="74"/>
        <v>59847.01</v>
      </c>
      <c r="I188" s="38">
        <f t="shared" si="74"/>
        <v>62654.04</v>
      </c>
      <c r="J188" s="38">
        <f t="shared" si="74"/>
        <v>89638.86</v>
      </c>
      <c r="K188" s="38">
        <f t="shared" si="74"/>
        <v>50683.12</v>
      </c>
      <c r="L188" s="38">
        <f>L162+L166+L178+L184+L187</f>
        <v>38972.78</v>
      </c>
      <c r="M188" s="38">
        <f>M162+M166+M178+M184+M187</f>
        <v>62150.59</v>
      </c>
      <c r="N188" s="38">
        <f>N162+N166+N178+N184+N187</f>
        <v>43846.559999999998</v>
      </c>
      <c r="O188" s="38">
        <f>O162+O166+O178+O184+O187</f>
        <v>41915.440000000002</v>
      </c>
      <c r="P188" s="75">
        <f t="shared" si="74"/>
        <v>41314.5</v>
      </c>
      <c r="Q188" s="75">
        <f>Q162+Q166+Q178+Q184+Q187</f>
        <v>43500.3</v>
      </c>
      <c r="R188" s="38">
        <f t="shared" si="74"/>
        <v>715279.58000000019</v>
      </c>
      <c r="S188" s="38"/>
      <c r="T188" s="38">
        <f>T162+T166+T178+T184+T187</f>
        <v>577215</v>
      </c>
      <c r="U188" s="38">
        <f>U162+U166+U178+U184+U187</f>
        <v>-138064.58000000007</v>
      </c>
    </row>
    <row r="189" spans="1:26" ht="11.25" customHeight="1">
      <c r="P189" s="74"/>
      <c r="Q189" s="74"/>
      <c r="S189" s="39"/>
    </row>
    <row r="190" spans="1:26" ht="11.25" customHeight="1">
      <c r="A190" s="32" t="s">
        <v>651</v>
      </c>
      <c r="B190" s="33"/>
      <c r="C190" s="33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74"/>
      <c r="Q190" s="74"/>
      <c r="R190" s="34"/>
      <c r="T190" s="34"/>
      <c r="U190" s="34"/>
    </row>
    <row r="191" spans="1:26" ht="11.25" customHeight="1" outlineLevel="2">
      <c r="A191" s="35"/>
      <c r="B191" s="26">
        <v>46000</v>
      </c>
      <c r="C191" s="26">
        <v>655</v>
      </c>
      <c r="D191" s="26" t="s">
        <v>652</v>
      </c>
      <c r="E191" s="21">
        <v>11875</v>
      </c>
      <c r="F191" s="21">
        <v>0</v>
      </c>
      <c r="G191" s="21">
        <v>4345</v>
      </c>
      <c r="P191" s="74">
        <v>18125</v>
      </c>
      <c r="Q191" s="74">
        <v>0</v>
      </c>
      <c r="R191" s="21">
        <f t="shared" ref="R191" si="75">SUM(E191:Q191)-P191</f>
        <v>16220</v>
      </c>
      <c r="T191" s="21">
        <v>30000</v>
      </c>
      <c r="U191" s="21">
        <f>+T191-R191</f>
        <v>13780</v>
      </c>
      <c r="V191" s="60" t="s">
        <v>653</v>
      </c>
      <c r="W191" s="60"/>
      <c r="X191" s="60"/>
      <c r="Y191" s="60"/>
      <c r="Z191" s="60"/>
    </row>
    <row r="192" spans="1:26" s="40" customFormat="1" ht="11.25" customHeight="1" outlineLevel="1">
      <c r="A192" s="43" t="s">
        <v>572</v>
      </c>
      <c r="B192" s="44"/>
      <c r="C192" s="44"/>
      <c r="D192" s="44"/>
      <c r="E192" s="38">
        <f t="shared" ref="E192:P192" si="76">SUM(E191:E191)</f>
        <v>11875</v>
      </c>
      <c r="F192" s="38">
        <f t="shared" si="76"/>
        <v>0</v>
      </c>
      <c r="G192" s="38">
        <f t="shared" si="76"/>
        <v>4345</v>
      </c>
      <c r="H192" s="38">
        <f t="shared" si="76"/>
        <v>0</v>
      </c>
      <c r="I192" s="38">
        <f t="shared" si="76"/>
        <v>0</v>
      </c>
      <c r="J192" s="38">
        <f t="shared" si="76"/>
        <v>0</v>
      </c>
      <c r="K192" s="38">
        <f t="shared" si="76"/>
        <v>0</v>
      </c>
      <c r="L192" s="38">
        <f>SUM(L191:L191)</f>
        <v>0</v>
      </c>
      <c r="M192" s="38">
        <f>SUM(M191:M191)</f>
        <v>0</v>
      </c>
      <c r="N192" s="38">
        <f>SUM(N191:N191)</f>
        <v>0</v>
      </c>
      <c r="O192" s="38">
        <f>SUM(O191:O191)</f>
        <v>0</v>
      </c>
      <c r="P192" s="75">
        <f t="shared" si="76"/>
        <v>18125</v>
      </c>
      <c r="Q192" s="75">
        <f>SUM(Q191:Q191)</f>
        <v>0</v>
      </c>
      <c r="R192" s="38">
        <f t="shared" ref="R192" si="77">SUM(R191:R191)</f>
        <v>16220</v>
      </c>
      <c r="S192" s="39"/>
      <c r="T192" s="38">
        <f>SUM(T191:T191)</f>
        <v>30000</v>
      </c>
      <c r="U192" s="38">
        <f>SUM(U191:U191)</f>
        <v>13780</v>
      </c>
    </row>
    <row r="193" spans="1:22" ht="11.25" customHeight="1" outlineLevel="2">
      <c r="A193" s="35"/>
      <c r="B193" s="26">
        <v>22360</v>
      </c>
      <c r="C193" s="26">
        <v>319</v>
      </c>
      <c r="D193" s="26" t="s">
        <v>654</v>
      </c>
      <c r="G193" s="21">
        <v>624</v>
      </c>
      <c r="I193" s="21">
        <v>3760</v>
      </c>
      <c r="J193" s="21">
        <v>6810</v>
      </c>
      <c r="K193" s="21">
        <f>725+11419.4</f>
        <v>12144.4</v>
      </c>
      <c r="L193" s="21">
        <v>0</v>
      </c>
      <c r="M193" s="21">
        <v>264.23</v>
      </c>
      <c r="P193" s="74"/>
      <c r="Q193" s="74">
        <v>1990</v>
      </c>
      <c r="R193" s="21">
        <f t="shared" ref="R193:R198" si="78">SUM(E193:Q193)-P193</f>
        <v>25592.63</v>
      </c>
      <c r="U193" s="21">
        <f t="shared" ref="U193:U198" si="79">+T193-R193</f>
        <v>-25592.63</v>
      </c>
      <c r="V193" s="22" t="s">
        <v>655</v>
      </c>
    </row>
    <row r="194" spans="1:22" ht="11.25" customHeight="1" outlineLevel="2">
      <c r="B194" s="26">
        <v>22360</v>
      </c>
      <c r="C194" s="26">
        <v>655</v>
      </c>
      <c r="D194" s="26" t="s">
        <v>656</v>
      </c>
      <c r="P194" s="74"/>
      <c r="Q194" s="74"/>
      <c r="R194" s="21">
        <f t="shared" si="78"/>
        <v>0</v>
      </c>
      <c r="U194" s="21">
        <f t="shared" si="79"/>
        <v>0</v>
      </c>
      <c r="V194" s="22" t="s">
        <v>657</v>
      </c>
    </row>
    <row r="195" spans="1:22" ht="11.25" customHeight="1" outlineLevel="2">
      <c r="B195" s="26">
        <v>22360</v>
      </c>
      <c r="C195" s="26">
        <v>656</v>
      </c>
      <c r="D195" s="26" t="s">
        <v>488</v>
      </c>
      <c r="F195" s="21">
        <v>3171</v>
      </c>
      <c r="P195" s="74"/>
      <c r="Q195" s="74"/>
      <c r="R195" s="21">
        <f t="shared" si="78"/>
        <v>3171</v>
      </c>
      <c r="U195" s="21">
        <f t="shared" si="79"/>
        <v>-3171</v>
      </c>
      <c r="V195" s="22" t="s">
        <v>658</v>
      </c>
    </row>
    <row r="196" spans="1:22" ht="11.25" customHeight="1" outlineLevel="2">
      <c r="A196" s="35"/>
      <c r="B196" s="26">
        <v>22360</v>
      </c>
      <c r="C196" s="26">
        <v>431</v>
      </c>
      <c r="D196" s="26" t="s">
        <v>659</v>
      </c>
      <c r="E196" s="21">
        <v>101.09</v>
      </c>
      <c r="F196" s="21">
        <v>774.42</v>
      </c>
      <c r="G196" s="21">
        <v>330</v>
      </c>
      <c r="H196" s="21">
        <v>403.89</v>
      </c>
      <c r="I196" s="21">
        <v>475.11</v>
      </c>
      <c r="J196" s="21">
        <v>228.46</v>
      </c>
      <c r="N196" s="21">
        <v>363.47</v>
      </c>
      <c r="P196" s="74"/>
      <c r="Q196" s="74">
        <v>114.23</v>
      </c>
      <c r="R196" s="21">
        <f t="shared" si="78"/>
        <v>2790.6700000000005</v>
      </c>
      <c r="U196" s="21">
        <f t="shared" si="79"/>
        <v>-2790.6700000000005</v>
      </c>
      <c r="V196" s="22" t="s">
        <v>660</v>
      </c>
    </row>
    <row r="197" spans="1:22" ht="11.25" customHeight="1" outlineLevel="2">
      <c r="A197" s="35"/>
      <c r="B197" s="26">
        <v>22360</v>
      </c>
      <c r="C197" s="26">
        <v>611</v>
      </c>
      <c r="D197" s="26" t="s">
        <v>661</v>
      </c>
      <c r="G197" s="21">
        <v>194.08</v>
      </c>
      <c r="K197" s="21">
        <v>150</v>
      </c>
      <c r="P197" s="74"/>
      <c r="Q197" s="74"/>
      <c r="R197" s="21">
        <f t="shared" si="78"/>
        <v>344.08000000000004</v>
      </c>
      <c r="U197" s="21">
        <f t="shared" si="79"/>
        <v>-344.08000000000004</v>
      </c>
    </row>
    <row r="198" spans="1:22" ht="11.25" customHeight="1" outlineLevel="2">
      <c r="A198" s="35"/>
      <c r="B198" s="26">
        <v>22360</v>
      </c>
      <c r="C198" s="26">
        <v>530</v>
      </c>
      <c r="D198" s="26" t="s">
        <v>662</v>
      </c>
      <c r="I198" s="21">
        <v>539.88</v>
      </c>
      <c r="L198" s="21">
        <v>150</v>
      </c>
      <c r="N198" s="21">
        <v>0</v>
      </c>
      <c r="P198" s="74">
        <v>839.92</v>
      </c>
      <c r="Q198" s="74"/>
      <c r="R198" s="21">
        <f t="shared" si="78"/>
        <v>689.88</v>
      </c>
      <c r="T198" s="21">
        <v>10079</v>
      </c>
      <c r="U198" s="21">
        <f t="shared" si="79"/>
        <v>9389.1200000000008</v>
      </c>
      <c r="V198" s="22" t="s">
        <v>663</v>
      </c>
    </row>
    <row r="199" spans="1:22" s="40" customFormat="1" ht="11.25" customHeight="1" outlineLevel="1">
      <c r="A199" s="36" t="s">
        <v>503</v>
      </c>
      <c r="B199" s="44"/>
      <c r="C199" s="44"/>
      <c r="D199" s="44"/>
      <c r="E199" s="38">
        <f t="shared" ref="E199:R199" si="80">SUM(E193:E198)</f>
        <v>101.09</v>
      </c>
      <c r="F199" s="38">
        <f t="shared" si="80"/>
        <v>3945.42</v>
      </c>
      <c r="G199" s="38">
        <f t="shared" si="80"/>
        <v>1148.08</v>
      </c>
      <c r="H199" s="38">
        <f t="shared" si="80"/>
        <v>403.89</v>
      </c>
      <c r="I199" s="38">
        <f t="shared" si="80"/>
        <v>4774.99</v>
      </c>
      <c r="J199" s="38">
        <f t="shared" si="80"/>
        <v>7038.46</v>
      </c>
      <c r="K199" s="38">
        <f t="shared" si="80"/>
        <v>12294.4</v>
      </c>
      <c r="L199" s="38">
        <f t="shared" si="80"/>
        <v>150</v>
      </c>
      <c r="M199" s="38">
        <f>SUM(M193:M198)</f>
        <v>264.23</v>
      </c>
      <c r="N199" s="38">
        <f>SUM(N193:N198)</f>
        <v>363.47</v>
      </c>
      <c r="O199" s="38">
        <f>SUM(O193:O198)</f>
        <v>0</v>
      </c>
      <c r="P199" s="75">
        <f t="shared" si="80"/>
        <v>839.92</v>
      </c>
      <c r="Q199" s="75">
        <f>SUM(Q193:Q198)</f>
        <v>2104.23</v>
      </c>
      <c r="R199" s="38">
        <f t="shared" si="80"/>
        <v>32588.260000000006</v>
      </c>
      <c r="S199" s="39"/>
      <c r="T199" s="38">
        <f>SUM(T193:T198)</f>
        <v>10079</v>
      </c>
      <c r="U199" s="38">
        <f>SUM(U193:U198)</f>
        <v>-22509.260000000002</v>
      </c>
    </row>
    <row r="200" spans="1:22" s="40" customFormat="1" ht="11.25" customHeight="1">
      <c r="A200" s="36" t="s">
        <v>664</v>
      </c>
      <c r="B200" s="44"/>
      <c r="C200" s="44"/>
      <c r="D200" s="44"/>
      <c r="E200" s="38">
        <f t="shared" ref="E200:R200" si="81">+E192+E199</f>
        <v>11976.09</v>
      </c>
      <c r="F200" s="38">
        <f t="shared" si="81"/>
        <v>3945.42</v>
      </c>
      <c r="G200" s="38">
        <f t="shared" si="81"/>
        <v>5493.08</v>
      </c>
      <c r="H200" s="38">
        <f t="shared" si="81"/>
        <v>403.89</v>
      </c>
      <c r="I200" s="38">
        <f t="shared" si="81"/>
        <v>4774.99</v>
      </c>
      <c r="J200" s="38">
        <f t="shared" si="81"/>
        <v>7038.46</v>
      </c>
      <c r="K200" s="38">
        <f t="shared" si="81"/>
        <v>12294.4</v>
      </c>
      <c r="L200" s="38">
        <f>+L192+L199</f>
        <v>150</v>
      </c>
      <c r="M200" s="38">
        <f>+M192+M199</f>
        <v>264.23</v>
      </c>
      <c r="N200" s="38">
        <f>+N192+N199</f>
        <v>363.47</v>
      </c>
      <c r="O200" s="38">
        <f>+O192+O199</f>
        <v>0</v>
      </c>
      <c r="P200" s="75">
        <f t="shared" si="81"/>
        <v>18964.919999999998</v>
      </c>
      <c r="Q200" s="75">
        <f>+Q192+Q199</f>
        <v>2104.23</v>
      </c>
      <c r="R200" s="38">
        <f t="shared" si="81"/>
        <v>48808.260000000009</v>
      </c>
      <c r="S200" s="39"/>
      <c r="T200" s="38">
        <f>+T192+T199</f>
        <v>40079</v>
      </c>
      <c r="U200" s="38">
        <f>+U192+U199</f>
        <v>-8729.260000000002</v>
      </c>
    </row>
    <row r="201" spans="1:22" ht="11.25" customHeight="1">
      <c r="P201" s="74"/>
      <c r="Q201" s="74"/>
      <c r="S201" s="39"/>
    </row>
    <row r="202" spans="1:22" ht="11.25" customHeight="1">
      <c r="A202" s="32" t="s">
        <v>665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74"/>
      <c r="Q202" s="74"/>
      <c r="R202" s="34"/>
      <c r="T202" s="34"/>
      <c r="U202" s="34"/>
    </row>
    <row r="203" spans="1:22" s="40" customFormat="1" ht="11.25" customHeight="1">
      <c r="B203" s="42"/>
      <c r="C203" s="42"/>
      <c r="D203" s="48" t="s">
        <v>666</v>
      </c>
      <c r="E203" s="39"/>
      <c r="F203" s="39">
        <v>0</v>
      </c>
      <c r="G203" s="39">
        <v>51500</v>
      </c>
      <c r="H203" s="39"/>
      <c r="I203" s="39"/>
      <c r="J203" s="39"/>
      <c r="K203" s="39">
        <v>80170.490000000005</v>
      </c>
      <c r="L203" s="39"/>
      <c r="M203" s="39">
        <v>0</v>
      </c>
      <c r="N203" s="39"/>
      <c r="O203" s="39">
        <v>10000</v>
      </c>
      <c r="P203" s="76">
        <v>10950</v>
      </c>
      <c r="Q203" s="76">
        <v>0</v>
      </c>
      <c r="R203" s="39">
        <f t="shared" ref="R203" si="82">SUM(E203:Q203)-P203</f>
        <v>141670.49</v>
      </c>
      <c r="T203" s="39">
        <v>150000</v>
      </c>
      <c r="U203" s="21">
        <f>+T203-R203</f>
        <v>8329.5100000000093</v>
      </c>
      <c r="V203" s="40" t="s">
        <v>667</v>
      </c>
    </row>
    <row r="204" spans="1:22" ht="11.25" customHeight="1">
      <c r="A204" s="45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76"/>
      <c r="Q204" s="76"/>
      <c r="R204" s="39"/>
      <c r="S204" s="39"/>
      <c r="T204" s="39"/>
    </row>
    <row r="205" spans="1:22" ht="11.25" customHeight="1">
      <c r="A205" s="32" t="s">
        <v>532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74"/>
      <c r="Q205" s="74"/>
      <c r="R205" s="34"/>
      <c r="T205" s="34"/>
      <c r="U205" s="34"/>
    </row>
    <row r="206" spans="1:22" ht="11.25" customHeight="1" outlineLevel="2">
      <c r="A206" s="35"/>
      <c r="B206" s="26">
        <v>31200</v>
      </c>
      <c r="C206" s="26">
        <v>120</v>
      </c>
      <c r="D206" s="26" t="s">
        <v>668</v>
      </c>
      <c r="E206" s="21">
        <v>2920</v>
      </c>
      <c r="F206" s="21">
        <v>2577.19</v>
      </c>
      <c r="G206" s="21">
        <v>3025.82</v>
      </c>
      <c r="H206" s="21">
        <v>2336.4499999999998</v>
      </c>
      <c r="I206" s="21">
        <v>2612.9299999999998</v>
      </c>
      <c r="J206" s="21">
        <f>2538.85+1100</f>
        <v>3638.85</v>
      </c>
      <c r="K206" s="21">
        <v>2347.44</v>
      </c>
      <c r="L206" s="21">
        <v>2124.52</v>
      </c>
      <c r="M206" s="21">
        <v>2238.92</v>
      </c>
      <c r="N206" s="21">
        <v>2852.36</v>
      </c>
      <c r="O206" s="21">
        <v>2703.12</v>
      </c>
      <c r="P206" s="74">
        <v>2742.42</v>
      </c>
      <c r="Q206" s="74">
        <f>1058.6</f>
        <v>1058.5999999999999</v>
      </c>
      <c r="R206" s="21">
        <f t="shared" ref="R206:R215" si="83">SUM(E206:Q206)-P206</f>
        <v>30436.199999999997</v>
      </c>
      <c r="T206" s="21">
        <v>32909</v>
      </c>
      <c r="U206" s="21">
        <f t="shared" ref="U206:U215" si="84">+T206-R206</f>
        <v>2472.8000000000029</v>
      </c>
      <c r="V206" s="22" t="s">
        <v>669</v>
      </c>
    </row>
    <row r="207" spans="1:22" ht="11.25" customHeight="1" outlineLevel="2">
      <c r="A207" s="35"/>
      <c r="B207" s="26">
        <v>31200</v>
      </c>
      <c r="C207" s="26">
        <v>211</v>
      </c>
      <c r="D207" s="26" t="s">
        <v>553</v>
      </c>
      <c r="E207" s="21">
        <v>222.39</v>
      </c>
      <c r="F207" s="21">
        <v>196.18</v>
      </c>
      <c r="G207" s="21">
        <v>230.49</v>
      </c>
      <c r="H207" s="21">
        <v>177.77</v>
      </c>
      <c r="I207" s="21">
        <v>198.89</v>
      </c>
      <c r="J207" s="21">
        <v>277.37</v>
      </c>
      <c r="K207" s="21">
        <v>178.58</v>
      </c>
      <c r="L207" s="21">
        <v>161.52000000000001</v>
      </c>
      <c r="M207" s="21">
        <v>170.29</v>
      </c>
      <c r="N207" s="21">
        <v>217.2</v>
      </c>
      <c r="O207" s="21">
        <v>205.78</v>
      </c>
      <c r="P207" s="74">
        <v>191.97</v>
      </c>
      <c r="Q207" s="74">
        <f>233.49-153</f>
        <v>80.490000000000009</v>
      </c>
      <c r="R207" s="21">
        <f t="shared" si="83"/>
        <v>2316.9499999999994</v>
      </c>
      <c r="T207" s="21">
        <v>2304</v>
      </c>
      <c r="U207" s="21">
        <f t="shared" si="84"/>
        <v>-12.949999999999363</v>
      </c>
      <c r="V207" s="22" t="s">
        <v>670</v>
      </c>
    </row>
    <row r="208" spans="1:22" ht="11.25" customHeight="1" outlineLevel="2">
      <c r="A208" s="35"/>
      <c r="B208" s="26">
        <v>31200</v>
      </c>
      <c r="C208" s="26">
        <v>222</v>
      </c>
      <c r="D208" s="26" t="s">
        <v>476</v>
      </c>
      <c r="E208" s="21">
        <v>0</v>
      </c>
      <c r="F208" s="21">
        <f>-12.83+24.63</f>
        <v>11.799999999999999</v>
      </c>
      <c r="G208" s="21">
        <f>122.05-12.83</f>
        <v>109.22</v>
      </c>
      <c r="H208" s="21">
        <f>-12.83+23.52</f>
        <v>10.69</v>
      </c>
      <c r="I208" s="21">
        <f t="shared" ref="I208:N208" si="85">-13.06+23.77</f>
        <v>10.709999999999999</v>
      </c>
      <c r="J208" s="21">
        <f t="shared" si="85"/>
        <v>10.709999999999999</v>
      </c>
      <c r="K208" s="21">
        <f t="shared" si="85"/>
        <v>10.709999999999999</v>
      </c>
      <c r="L208" s="21">
        <f t="shared" si="85"/>
        <v>10.709999999999999</v>
      </c>
      <c r="M208" s="21">
        <f t="shared" si="85"/>
        <v>10.709999999999999</v>
      </c>
      <c r="N208" s="21">
        <f t="shared" si="85"/>
        <v>10.709999999999999</v>
      </c>
      <c r="O208" s="21">
        <f>-13.06+23.77</f>
        <v>10.709999999999999</v>
      </c>
      <c r="P208" s="74">
        <v>277.93</v>
      </c>
      <c r="Q208" s="74">
        <f>-6.52+23.77</f>
        <v>17.25</v>
      </c>
      <c r="R208" s="21">
        <f t="shared" si="83"/>
        <v>223.93000000000006</v>
      </c>
      <c r="T208" s="21">
        <v>3335</v>
      </c>
      <c r="U208" s="21">
        <f t="shared" si="84"/>
        <v>3111.0699999999997</v>
      </c>
      <c r="V208" s="22" t="s">
        <v>671</v>
      </c>
    </row>
    <row r="209" spans="1:22" ht="11.25" customHeight="1" outlineLevel="2">
      <c r="A209" s="35"/>
      <c r="B209" s="26">
        <v>31200</v>
      </c>
      <c r="C209" s="26">
        <v>230</v>
      </c>
      <c r="D209" s="26" t="s">
        <v>478</v>
      </c>
      <c r="P209" s="74"/>
      <c r="Q209" s="74"/>
      <c r="R209" s="21">
        <f t="shared" si="83"/>
        <v>0</v>
      </c>
      <c r="U209" s="21">
        <f t="shared" si="84"/>
        <v>0</v>
      </c>
      <c r="V209" s="22" t="s">
        <v>672</v>
      </c>
    </row>
    <row r="210" spans="1:22" ht="11.25" customHeight="1" outlineLevel="2">
      <c r="A210" s="35"/>
      <c r="B210" s="26">
        <v>31200</v>
      </c>
      <c r="C210" s="26">
        <v>290</v>
      </c>
      <c r="D210" s="26" t="s">
        <v>480</v>
      </c>
      <c r="I210" s="21">
        <v>108.67</v>
      </c>
      <c r="P210" s="74"/>
      <c r="Q210" s="74"/>
      <c r="R210" s="21">
        <f t="shared" si="83"/>
        <v>108.67</v>
      </c>
      <c r="U210" s="21">
        <f t="shared" si="84"/>
        <v>-108.67</v>
      </c>
      <c r="V210" s="22" t="s">
        <v>673</v>
      </c>
    </row>
    <row r="211" spans="1:22" ht="22.5" customHeight="1" outlineLevel="2">
      <c r="A211" s="35"/>
      <c r="B211" s="26">
        <v>31400</v>
      </c>
      <c r="C211" s="26">
        <v>614</v>
      </c>
      <c r="D211" s="26" t="s">
        <v>674</v>
      </c>
      <c r="E211" s="21">
        <v>28080.05</v>
      </c>
      <c r="F211" s="21">
        <v>20576.13</v>
      </c>
      <c r="G211" s="21">
        <v>7980.45</v>
      </c>
      <c r="H211" s="21">
        <v>2621.57</v>
      </c>
      <c r="I211" s="21">
        <v>21994.98</v>
      </c>
      <c r="J211" s="21">
        <v>58472.51</v>
      </c>
      <c r="K211" s="21">
        <v>1152.76</v>
      </c>
      <c r="L211" s="21">
        <v>15408.65</v>
      </c>
      <c r="M211" s="21">
        <v>13159.09</v>
      </c>
      <c r="N211" s="21">
        <v>1000</v>
      </c>
      <c r="O211" s="21">
        <v>33651.300000000003</v>
      </c>
      <c r="P211" s="74">
        <f>30283+60566-33651.3</f>
        <v>57197.7</v>
      </c>
      <c r="Q211" s="74">
        <v>20954.88</v>
      </c>
      <c r="R211" s="21">
        <f t="shared" si="83"/>
        <v>225052.37</v>
      </c>
      <c r="T211" s="21">
        <v>363392</v>
      </c>
      <c r="U211" s="21">
        <f t="shared" si="84"/>
        <v>138339.63</v>
      </c>
      <c r="V211" s="81" t="s">
        <v>675</v>
      </c>
    </row>
    <row r="212" spans="1:22" ht="11.25" customHeight="1" outlineLevel="2">
      <c r="A212" s="35"/>
      <c r="B212" s="26">
        <v>31900</v>
      </c>
      <c r="C212" s="26">
        <v>614</v>
      </c>
      <c r="D212" s="26" t="s">
        <v>676</v>
      </c>
      <c r="E212" s="21">
        <v>227.64</v>
      </c>
      <c r="F212" s="21">
        <v>288.67</v>
      </c>
      <c r="G212" s="21">
        <v>754.54</v>
      </c>
      <c r="I212" s="21">
        <v>1336.54</v>
      </c>
      <c r="J212" s="21">
        <v>0</v>
      </c>
      <c r="K212" s="21">
        <v>2128.31</v>
      </c>
      <c r="L212" s="21">
        <v>108.72</v>
      </c>
      <c r="M212" s="21">
        <v>2416.5300000000002</v>
      </c>
      <c r="N212" s="21">
        <v>1210.22</v>
      </c>
      <c r="O212" s="21">
        <v>921.41</v>
      </c>
      <c r="P212" s="74"/>
      <c r="Q212" s="74">
        <v>186.04</v>
      </c>
      <c r="R212" s="21">
        <f t="shared" si="83"/>
        <v>9578.6200000000008</v>
      </c>
      <c r="U212" s="21">
        <f t="shared" si="84"/>
        <v>-9578.6200000000008</v>
      </c>
      <c r="V212" s="22" t="s">
        <v>677</v>
      </c>
    </row>
    <row r="213" spans="1:22" ht="11.25" customHeight="1" outlineLevel="2">
      <c r="A213" s="35"/>
      <c r="B213" s="26">
        <v>31200</v>
      </c>
      <c r="C213" s="26">
        <v>431</v>
      </c>
      <c r="D213" s="26" t="s">
        <v>678</v>
      </c>
      <c r="E213" s="21">
        <v>0</v>
      </c>
      <c r="P213" s="74"/>
      <c r="Q213" s="74"/>
      <c r="R213" s="21">
        <f t="shared" si="83"/>
        <v>0</v>
      </c>
      <c r="U213" s="21">
        <f t="shared" si="84"/>
        <v>0</v>
      </c>
      <c r="V213" s="22" t="s">
        <v>679</v>
      </c>
    </row>
    <row r="214" spans="1:22" ht="11.25" customHeight="1" outlineLevel="2">
      <c r="A214" s="35"/>
      <c r="B214" s="26">
        <v>31200</v>
      </c>
      <c r="C214" s="26">
        <v>611</v>
      </c>
      <c r="D214" s="26" t="s">
        <v>680</v>
      </c>
      <c r="E214" s="21">
        <v>489</v>
      </c>
      <c r="F214" s="21">
        <v>26.8</v>
      </c>
      <c r="G214" s="21">
        <v>0</v>
      </c>
      <c r="I214" s="21">
        <v>568.75</v>
      </c>
      <c r="J214" s="21">
        <v>596.94000000000005</v>
      </c>
      <c r="K214" s="21">
        <v>558</v>
      </c>
      <c r="L214" s="21">
        <v>434</v>
      </c>
      <c r="M214" s="21">
        <v>1095.82</v>
      </c>
      <c r="N214" s="21">
        <v>434</v>
      </c>
      <c r="O214" s="21">
        <v>434</v>
      </c>
      <c r="P214" s="74"/>
      <c r="Q214" s="74">
        <v>434</v>
      </c>
      <c r="R214" s="21">
        <f t="shared" si="83"/>
        <v>5071.3099999999995</v>
      </c>
      <c r="U214" s="21">
        <f t="shared" si="84"/>
        <v>-5071.3099999999995</v>
      </c>
      <c r="V214" s="22" t="s">
        <v>681</v>
      </c>
    </row>
    <row r="215" spans="1:22" ht="11.25" customHeight="1" outlineLevel="2">
      <c r="A215" s="35"/>
      <c r="B215" s="26">
        <v>31200</v>
      </c>
      <c r="C215" s="26">
        <v>810</v>
      </c>
      <c r="D215" s="26" t="s">
        <v>682</v>
      </c>
      <c r="E215" s="21">
        <v>80</v>
      </c>
      <c r="J215" s="21">
        <v>256.88</v>
      </c>
      <c r="P215" s="74"/>
      <c r="Q215" s="74"/>
      <c r="R215" s="21">
        <f t="shared" si="83"/>
        <v>336.88</v>
      </c>
      <c r="U215" s="21">
        <f t="shared" si="84"/>
        <v>-336.88</v>
      </c>
      <c r="V215" s="22" t="s">
        <v>683</v>
      </c>
    </row>
    <row r="216" spans="1:22" s="40" customFormat="1" ht="11.25" customHeight="1" outlineLevel="1">
      <c r="A216" s="43" t="s">
        <v>684</v>
      </c>
      <c r="B216" s="44"/>
      <c r="C216" s="44"/>
      <c r="D216" s="44"/>
      <c r="E216" s="38">
        <f t="shared" ref="E216:P216" si="86">SUM(E206:E215)</f>
        <v>32019.079999999998</v>
      </c>
      <c r="F216" s="38">
        <f t="shared" si="86"/>
        <v>23676.77</v>
      </c>
      <c r="G216" s="38">
        <f t="shared" si="86"/>
        <v>12100.52</v>
      </c>
      <c r="H216" s="38">
        <f t="shared" si="86"/>
        <v>5146.4799999999996</v>
      </c>
      <c r="I216" s="38">
        <f t="shared" si="86"/>
        <v>26831.47</v>
      </c>
      <c r="J216" s="38">
        <f t="shared" si="86"/>
        <v>63253.26</v>
      </c>
      <c r="K216" s="38">
        <f t="shared" si="86"/>
        <v>6375.7999999999993</v>
      </c>
      <c r="L216" s="38">
        <f>SUM(L206:L215)</f>
        <v>18248.120000000003</v>
      </c>
      <c r="M216" s="38">
        <f>SUM(M206:M215)</f>
        <v>19091.36</v>
      </c>
      <c r="N216" s="38">
        <f>SUM(N206:N215)</f>
        <v>5724.49</v>
      </c>
      <c r="O216" s="38">
        <f>SUM(O206:O215)</f>
        <v>37926.320000000007</v>
      </c>
      <c r="P216" s="75">
        <f t="shared" si="86"/>
        <v>60410.02</v>
      </c>
      <c r="Q216" s="75">
        <f>SUM(Q206:Q215)</f>
        <v>22731.260000000002</v>
      </c>
      <c r="R216" s="38">
        <f t="shared" ref="R216" si="87">SUM(R206:R215)</f>
        <v>273124.93</v>
      </c>
      <c r="S216" s="39"/>
      <c r="T216" s="38">
        <f>SUM(T206:T215)</f>
        <v>401940</v>
      </c>
      <c r="U216" s="38">
        <f>SUM(U206:U215)</f>
        <v>128815.07</v>
      </c>
    </row>
    <row r="217" spans="1:22" ht="11.25" customHeight="1" outlineLevel="2">
      <c r="A217" s="35"/>
      <c r="B217" s="26">
        <v>33440</v>
      </c>
      <c r="C217" s="26">
        <v>319</v>
      </c>
      <c r="D217" s="26" t="s">
        <v>685</v>
      </c>
      <c r="E217" s="21">
        <f>1000+76.5</f>
        <v>1076.5</v>
      </c>
      <c r="G217" s="21">
        <v>8200</v>
      </c>
      <c r="H217" s="21">
        <v>4000</v>
      </c>
      <c r="J217" s="21">
        <v>5500</v>
      </c>
      <c r="K217" s="21">
        <v>4850</v>
      </c>
      <c r="L217" s="21">
        <v>130</v>
      </c>
      <c r="M217" s="21">
        <v>4934.1499999999996</v>
      </c>
      <c r="N217" s="21">
        <v>3500</v>
      </c>
      <c r="O217" s="21">
        <f>1000+130</f>
        <v>1130</v>
      </c>
      <c r="P217" s="74">
        <v>500</v>
      </c>
      <c r="Q217" s="74"/>
      <c r="R217" s="21">
        <f t="shared" ref="R217:R224" si="88">SUM(E217:Q217)-P217</f>
        <v>33320.65</v>
      </c>
      <c r="U217" s="21">
        <f t="shared" ref="U217:U224" si="89">+T217-R217</f>
        <v>-33320.65</v>
      </c>
      <c r="V217" s="22" t="s">
        <v>686</v>
      </c>
    </row>
    <row r="218" spans="1:22" ht="11.25" customHeight="1" outlineLevel="2">
      <c r="A218" s="35"/>
      <c r="B218" s="26">
        <v>33990</v>
      </c>
      <c r="C218" s="26">
        <v>319</v>
      </c>
      <c r="D218" s="26" t="s">
        <v>503</v>
      </c>
      <c r="E218" s="21">
        <v>1200</v>
      </c>
      <c r="I218" s="21">
        <v>500</v>
      </c>
      <c r="J218" s="21">
        <v>1350</v>
      </c>
      <c r="K218" s="21">
        <v>1275</v>
      </c>
      <c r="O218" s="21">
        <f>350+1484.8</f>
        <v>1834.8</v>
      </c>
      <c r="P218" s="74"/>
      <c r="Q218" s="74">
        <v>0</v>
      </c>
      <c r="R218" s="21">
        <f t="shared" si="88"/>
        <v>6159.8</v>
      </c>
      <c r="U218" s="21">
        <f t="shared" si="89"/>
        <v>-6159.8</v>
      </c>
      <c r="V218" s="22" t="s">
        <v>687</v>
      </c>
    </row>
    <row r="219" spans="1:22" ht="11.25" customHeight="1" outlineLevel="2">
      <c r="A219" s="35"/>
      <c r="B219" s="26">
        <v>33990</v>
      </c>
      <c r="C219" s="26">
        <v>444</v>
      </c>
      <c r="D219" s="26" t="s">
        <v>688</v>
      </c>
      <c r="L219" s="21">
        <v>1500</v>
      </c>
      <c r="N219" s="21">
        <v>320</v>
      </c>
      <c r="O219" s="21">
        <v>84</v>
      </c>
      <c r="P219" s="74"/>
      <c r="Q219" s="74"/>
      <c r="R219" s="21">
        <f t="shared" si="88"/>
        <v>1904</v>
      </c>
      <c r="U219" s="21">
        <f t="shared" si="89"/>
        <v>-1904</v>
      </c>
      <c r="V219" s="22" t="s">
        <v>689</v>
      </c>
    </row>
    <row r="220" spans="1:22" ht="11.25" customHeight="1" outlineLevel="2">
      <c r="A220" s="35"/>
      <c r="B220" s="26">
        <v>33990</v>
      </c>
      <c r="C220" s="26">
        <v>519</v>
      </c>
      <c r="D220" s="26" t="s">
        <v>690</v>
      </c>
      <c r="P220" s="74"/>
      <c r="Q220" s="74"/>
      <c r="R220" s="21">
        <f t="shared" si="88"/>
        <v>0</v>
      </c>
      <c r="U220" s="21">
        <f t="shared" si="89"/>
        <v>0</v>
      </c>
      <c r="V220" s="22" t="s">
        <v>691</v>
      </c>
    </row>
    <row r="221" spans="1:22" ht="11.25" customHeight="1" outlineLevel="2">
      <c r="A221" s="35"/>
      <c r="B221" s="26">
        <v>33990</v>
      </c>
      <c r="C221" s="26">
        <v>580</v>
      </c>
      <c r="D221" s="26" t="s">
        <v>692</v>
      </c>
      <c r="P221" s="74"/>
      <c r="Q221" s="74"/>
      <c r="R221" s="21">
        <f t="shared" si="88"/>
        <v>0</v>
      </c>
      <c r="U221" s="21">
        <f t="shared" si="89"/>
        <v>0</v>
      </c>
      <c r="V221" s="22" t="s">
        <v>693</v>
      </c>
    </row>
    <row r="222" spans="1:22" ht="11.25" customHeight="1" outlineLevel="2">
      <c r="A222" s="35"/>
      <c r="B222" s="26">
        <v>33990</v>
      </c>
      <c r="C222" s="26">
        <v>611</v>
      </c>
      <c r="D222" s="26" t="s">
        <v>694</v>
      </c>
      <c r="G222" s="21">
        <v>3819.99</v>
      </c>
      <c r="I222" s="21">
        <f>4638.26-50</f>
        <v>4588.26</v>
      </c>
      <c r="J222" s="21">
        <v>438.83</v>
      </c>
      <c r="K222" s="21">
        <v>3380.82</v>
      </c>
      <c r="L222" s="21">
        <v>2643.7</v>
      </c>
      <c r="M222" s="21">
        <v>4197.3100000000004</v>
      </c>
      <c r="N222" s="21">
        <v>2307.56</v>
      </c>
      <c r="O222" s="21">
        <v>131.24</v>
      </c>
      <c r="P222" s="74"/>
      <c r="Q222" s="74">
        <v>1734.66</v>
      </c>
      <c r="R222" s="21">
        <f t="shared" si="88"/>
        <v>23242.370000000003</v>
      </c>
      <c r="U222" s="21">
        <f t="shared" si="89"/>
        <v>-23242.370000000003</v>
      </c>
      <c r="V222" s="22" t="s">
        <v>695</v>
      </c>
    </row>
    <row r="223" spans="1:22" ht="11.25" customHeight="1" outlineLevel="2">
      <c r="A223" s="35"/>
      <c r="B223" s="26">
        <v>33990</v>
      </c>
      <c r="C223" s="26">
        <v>614</v>
      </c>
      <c r="D223" s="26" t="s">
        <v>696</v>
      </c>
      <c r="I223" s="21">
        <v>125.87</v>
      </c>
      <c r="L223" s="21">
        <v>150</v>
      </c>
      <c r="N223" s="21">
        <v>599.5</v>
      </c>
      <c r="O223" s="21">
        <v>130</v>
      </c>
      <c r="P223" s="74"/>
      <c r="Q223" s="74"/>
      <c r="R223" s="21">
        <f t="shared" si="88"/>
        <v>1005.37</v>
      </c>
      <c r="U223" s="21">
        <f t="shared" si="89"/>
        <v>-1005.37</v>
      </c>
      <c r="V223" s="22" t="s">
        <v>697</v>
      </c>
    </row>
    <row r="224" spans="1:22" ht="11.25" customHeight="1" outlineLevel="2">
      <c r="A224" s="35"/>
      <c r="B224" s="26">
        <v>33990</v>
      </c>
      <c r="C224" s="26">
        <v>810</v>
      </c>
      <c r="D224" s="26" t="s">
        <v>698</v>
      </c>
      <c r="H224" s="21">
        <v>735</v>
      </c>
      <c r="I224" s="21">
        <v>50</v>
      </c>
      <c r="J224" s="21">
        <v>80</v>
      </c>
      <c r="L224" s="21">
        <v>91</v>
      </c>
      <c r="M224" s="21">
        <v>250</v>
      </c>
      <c r="N224" s="21">
        <v>125</v>
      </c>
      <c r="P224" s="74"/>
      <c r="Q224" s="74"/>
      <c r="R224" s="21">
        <f t="shared" si="88"/>
        <v>1331</v>
      </c>
      <c r="U224" s="21">
        <f t="shared" si="89"/>
        <v>-1331</v>
      </c>
      <c r="V224" s="22" t="s">
        <v>699</v>
      </c>
    </row>
    <row r="225" spans="1:22" s="40" customFormat="1" ht="11.25" customHeight="1" outlineLevel="1">
      <c r="A225" s="43" t="s">
        <v>532</v>
      </c>
      <c r="B225" s="44"/>
      <c r="C225" s="44"/>
      <c r="D225" s="44"/>
      <c r="E225" s="38">
        <f t="shared" ref="E225:R225" si="90">SUM(E217:E224)</f>
        <v>2276.5</v>
      </c>
      <c r="F225" s="38">
        <f t="shared" si="90"/>
        <v>0</v>
      </c>
      <c r="G225" s="38">
        <f t="shared" si="90"/>
        <v>12019.99</v>
      </c>
      <c r="H225" s="38">
        <f t="shared" si="90"/>
        <v>4735</v>
      </c>
      <c r="I225" s="38">
        <f t="shared" si="90"/>
        <v>5264.13</v>
      </c>
      <c r="J225" s="38">
        <f t="shared" si="90"/>
        <v>7368.83</v>
      </c>
      <c r="K225" s="38">
        <f t="shared" si="90"/>
        <v>9505.82</v>
      </c>
      <c r="L225" s="38">
        <f>SUM(L217:L224)</f>
        <v>4514.7</v>
      </c>
      <c r="M225" s="38">
        <f>SUM(M217:M224)</f>
        <v>9381.4599999999991</v>
      </c>
      <c r="N225" s="38">
        <f>SUM(N217:N224)</f>
        <v>6852.0599999999995</v>
      </c>
      <c r="O225" s="38">
        <f>SUM(O217:O224)</f>
        <v>3310.04</v>
      </c>
      <c r="P225" s="75">
        <f t="shared" si="90"/>
        <v>500</v>
      </c>
      <c r="Q225" s="75">
        <f>SUM(Q217:Q224)</f>
        <v>1734.66</v>
      </c>
      <c r="R225" s="38">
        <f t="shared" si="90"/>
        <v>66963.19</v>
      </c>
      <c r="S225" s="39"/>
      <c r="T225" s="38">
        <f>SUM(T217:T224)</f>
        <v>0</v>
      </c>
      <c r="U225" s="38">
        <f>SUM(U217:U224)</f>
        <v>-66963.19</v>
      </c>
    </row>
    <row r="226" spans="1:22" s="40" customFormat="1" ht="11.25" customHeight="1" outlineLevel="1">
      <c r="A226" s="48"/>
      <c r="B226" s="26">
        <v>27100</v>
      </c>
      <c r="C226" s="26">
        <v>120</v>
      </c>
      <c r="D226" s="26" t="s">
        <v>700</v>
      </c>
      <c r="E226" s="21">
        <f>2725+6480.89+5500</f>
        <v>14705.89</v>
      </c>
      <c r="F226" s="21">
        <f>90+9000+1600</f>
        <v>10690</v>
      </c>
      <c r="G226" s="21">
        <f>3970+16280+500</f>
        <v>20750</v>
      </c>
      <c r="H226" s="21">
        <f>13160+400+2420</f>
        <v>15980</v>
      </c>
      <c r="I226" s="21">
        <f>13180+4180</f>
        <v>17360</v>
      </c>
      <c r="J226" s="21">
        <f>3520+12520+3600</f>
        <v>19640</v>
      </c>
      <c r="K226" s="21">
        <f>8054.55+950</f>
        <v>9004.5499999999993</v>
      </c>
      <c r="L226" s="21">
        <f>5200+300</f>
        <v>5500</v>
      </c>
      <c r="M226" s="21">
        <v>4500</v>
      </c>
      <c r="N226" s="21">
        <v>4500</v>
      </c>
      <c r="O226" s="21">
        <v>4500</v>
      </c>
      <c r="P226" s="74">
        <v>6000</v>
      </c>
      <c r="Q226" s="74">
        <f>7000-2500</f>
        <v>4500</v>
      </c>
      <c r="R226" s="21">
        <f t="shared" ref="R226:R240" si="91">SUM(E226:Q226)-P226</f>
        <v>131630.44</v>
      </c>
      <c r="S226" s="22"/>
      <c r="T226" s="21">
        <v>202720</v>
      </c>
      <c r="U226" s="21">
        <f t="shared" ref="U226:U240" si="92">+T226-R226</f>
        <v>71089.56</v>
      </c>
      <c r="V226" s="22" t="s">
        <v>701</v>
      </c>
    </row>
    <row r="227" spans="1:22" s="40" customFormat="1" ht="11.25" customHeight="1" outlineLevel="1">
      <c r="A227" s="48"/>
      <c r="B227" s="26">
        <v>27100</v>
      </c>
      <c r="C227" s="26">
        <v>211</v>
      </c>
      <c r="D227" s="26" t="s">
        <v>553</v>
      </c>
      <c r="E227" s="21">
        <f>208.46+1060.02</f>
        <v>1268.48</v>
      </c>
      <c r="F227" s="21">
        <f>6.89+678.96</f>
        <v>685.85</v>
      </c>
      <c r="G227" s="21">
        <f>1327.68+303.71</f>
        <v>1631.39</v>
      </c>
      <c r="H227" s="21">
        <f>1027.8+185.13</f>
        <v>1212.9299999999998</v>
      </c>
      <c r="I227" s="21">
        <f>319.77+998.38</f>
        <v>1318.15</v>
      </c>
      <c r="J227" s="21">
        <f>269.28+1223.3</f>
        <v>1492.58</v>
      </c>
      <c r="K227" s="21">
        <v>705.74</v>
      </c>
      <c r="L227" s="21">
        <v>414.33</v>
      </c>
      <c r="M227" s="21">
        <v>337.83</v>
      </c>
      <c r="N227" s="21">
        <v>337.83</v>
      </c>
      <c r="O227" s="21">
        <v>337.83</v>
      </c>
      <c r="P227" s="74">
        <v>1183</v>
      </c>
      <c r="Q227" s="74">
        <f>529.08-191.25</f>
        <v>337.83000000000004</v>
      </c>
      <c r="R227" s="21">
        <f t="shared" si="91"/>
        <v>10080.769999999999</v>
      </c>
      <c r="S227" s="22"/>
      <c r="T227" s="21">
        <v>14190</v>
      </c>
      <c r="U227" s="21">
        <f t="shared" si="92"/>
        <v>4109.2300000000014</v>
      </c>
      <c r="V227" s="22" t="s">
        <v>702</v>
      </c>
    </row>
    <row r="228" spans="1:22" s="40" customFormat="1" ht="11.25" customHeight="1" outlineLevel="1">
      <c r="A228" s="48"/>
      <c r="B228" s="26">
        <v>27100</v>
      </c>
      <c r="C228" s="26">
        <v>222</v>
      </c>
      <c r="D228" s="26" t="s">
        <v>476</v>
      </c>
      <c r="E228" s="21">
        <v>-124.53</v>
      </c>
      <c r="F228" s="21">
        <f>0-124.53+23.05+520.24</f>
        <v>418.76</v>
      </c>
      <c r="G228" s="21">
        <f>1004.45-124.53</f>
        <v>879.92000000000007</v>
      </c>
      <c r="H228" s="21">
        <f>+-124.53+554.88</f>
        <v>430.35</v>
      </c>
      <c r="I228" s="21">
        <f>-129.43+555.63</f>
        <v>426.2</v>
      </c>
      <c r="J228" s="21">
        <f>-129.43+1.83+553.8</f>
        <v>426.19999999999993</v>
      </c>
      <c r="K228" s="21">
        <f>-129.43+555.63</f>
        <v>426.2</v>
      </c>
      <c r="L228" s="21">
        <f>-84.04+443.86</f>
        <v>359.82</v>
      </c>
      <c r="M228" s="21">
        <f>-84.04+498.83</f>
        <v>414.78999999999996</v>
      </c>
      <c r="N228" s="21">
        <f>-84.04+498.83</f>
        <v>414.78999999999996</v>
      </c>
      <c r="O228" s="21">
        <f>-84.04+498.83</f>
        <v>414.78999999999996</v>
      </c>
      <c r="P228" s="74">
        <f>1478.6+498.83</f>
        <v>1977.4299999999998</v>
      </c>
      <c r="Q228" s="74">
        <f>-84.04+497</f>
        <v>412.96</v>
      </c>
      <c r="R228" s="21">
        <f t="shared" si="91"/>
        <v>4900.25</v>
      </c>
      <c r="S228" s="22"/>
      <c r="T228" s="21">
        <v>18343</v>
      </c>
      <c r="U228" s="21">
        <f t="shared" si="92"/>
        <v>13442.75</v>
      </c>
      <c r="V228" s="22" t="s">
        <v>703</v>
      </c>
    </row>
    <row r="229" spans="1:22" s="40" customFormat="1" ht="11.25" customHeight="1" outlineLevel="1">
      <c r="A229" s="48"/>
      <c r="B229" s="26">
        <v>27100</v>
      </c>
      <c r="C229" s="26">
        <v>230</v>
      </c>
      <c r="D229" s="26" t="s">
        <v>478</v>
      </c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74"/>
      <c r="Q229" s="74"/>
      <c r="R229" s="21">
        <f t="shared" si="91"/>
        <v>0</v>
      </c>
      <c r="S229" s="22"/>
      <c r="T229" s="21"/>
      <c r="U229" s="21">
        <f t="shared" si="92"/>
        <v>0</v>
      </c>
      <c r="V229" s="22" t="s">
        <v>672</v>
      </c>
    </row>
    <row r="230" spans="1:22" s="40" customFormat="1" ht="11.25" customHeight="1" outlineLevel="1">
      <c r="A230" s="48"/>
      <c r="B230" s="26">
        <v>27100</v>
      </c>
      <c r="C230" s="26">
        <v>290</v>
      </c>
      <c r="D230" s="26" t="s">
        <v>480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74"/>
      <c r="Q230" s="74"/>
      <c r="R230" s="21">
        <f t="shared" si="91"/>
        <v>0</v>
      </c>
      <c r="S230" s="22"/>
      <c r="T230" s="21"/>
      <c r="U230" s="21">
        <f t="shared" si="92"/>
        <v>0</v>
      </c>
      <c r="V230" s="22" t="s">
        <v>673</v>
      </c>
    </row>
    <row r="231" spans="1:22" s="40" customFormat="1" ht="11.25" customHeight="1" outlineLevel="1">
      <c r="A231" s="48"/>
      <c r="B231" s="26">
        <v>27700</v>
      </c>
      <c r="C231" s="26">
        <v>120</v>
      </c>
      <c r="D231" s="26" t="s">
        <v>704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74"/>
      <c r="Q231" s="74"/>
      <c r="R231" s="21">
        <f t="shared" si="91"/>
        <v>0</v>
      </c>
      <c r="S231" s="22"/>
      <c r="T231" s="21"/>
      <c r="U231" s="21">
        <f t="shared" si="92"/>
        <v>0</v>
      </c>
      <c r="V231" s="22" t="s">
        <v>705</v>
      </c>
    </row>
    <row r="232" spans="1:22" s="40" customFormat="1" ht="11.25" customHeight="1" outlineLevel="1">
      <c r="A232" s="48"/>
      <c r="B232" s="26">
        <v>27700</v>
      </c>
      <c r="C232" s="26">
        <v>120</v>
      </c>
      <c r="D232" s="26" t="s">
        <v>704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74"/>
      <c r="Q232" s="74"/>
      <c r="R232" s="21">
        <f t="shared" si="91"/>
        <v>0</v>
      </c>
      <c r="S232" s="22"/>
      <c r="T232" s="21"/>
      <c r="U232" s="21">
        <f t="shared" si="92"/>
        <v>0</v>
      </c>
      <c r="V232" s="22" t="s">
        <v>706</v>
      </c>
    </row>
    <row r="233" spans="1:22" s="40" customFormat="1" ht="11.25" customHeight="1" outlineLevel="1">
      <c r="A233" s="48"/>
      <c r="B233" s="26">
        <v>27700</v>
      </c>
      <c r="C233" s="26">
        <v>211</v>
      </c>
      <c r="D233" s="26" t="s">
        <v>553</v>
      </c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74"/>
      <c r="Q233" s="74"/>
      <c r="R233" s="21">
        <f t="shared" si="91"/>
        <v>0</v>
      </c>
      <c r="S233" s="22"/>
      <c r="T233" s="21"/>
      <c r="U233" s="21">
        <f t="shared" si="92"/>
        <v>0</v>
      </c>
      <c r="V233" s="22" t="s">
        <v>702</v>
      </c>
    </row>
    <row r="234" spans="1:22" s="40" customFormat="1" ht="11.25" customHeight="1" outlineLevel="1">
      <c r="A234" s="48"/>
      <c r="B234" s="26">
        <v>27700</v>
      </c>
      <c r="C234" s="26">
        <v>222</v>
      </c>
      <c r="D234" s="26" t="s">
        <v>476</v>
      </c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74"/>
      <c r="Q234" s="74"/>
      <c r="R234" s="21">
        <f t="shared" si="91"/>
        <v>0</v>
      </c>
      <c r="S234" s="22"/>
      <c r="T234" s="21"/>
      <c r="U234" s="21">
        <f t="shared" si="92"/>
        <v>0</v>
      </c>
      <c r="V234" s="22" t="s">
        <v>703</v>
      </c>
    </row>
    <row r="235" spans="1:22" s="40" customFormat="1" ht="11.25" customHeight="1" outlineLevel="1">
      <c r="A235" s="48"/>
      <c r="B235" s="26">
        <v>27700</v>
      </c>
      <c r="C235" s="26">
        <v>230</v>
      </c>
      <c r="D235" s="26" t="s">
        <v>478</v>
      </c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74"/>
      <c r="Q235" s="74"/>
      <c r="R235" s="21">
        <f t="shared" si="91"/>
        <v>0</v>
      </c>
      <c r="S235" s="22"/>
      <c r="T235" s="21"/>
      <c r="U235" s="21">
        <f t="shared" si="92"/>
        <v>0</v>
      </c>
      <c r="V235" s="22" t="s">
        <v>672</v>
      </c>
    </row>
    <row r="236" spans="1:22" s="40" customFormat="1" ht="11.25" customHeight="1" outlineLevel="1">
      <c r="A236" s="48"/>
      <c r="B236" s="26">
        <v>27700</v>
      </c>
      <c r="C236" s="26">
        <v>290</v>
      </c>
      <c r="D236" s="26" t="s">
        <v>480</v>
      </c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74"/>
      <c r="Q236" s="74"/>
      <c r="R236" s="21">
        <f t="shared" si="91"/>
        <v>0</v>
      </c>
      <c r="S236" s="22"/>
      <c r="T236" s="21"/>
      <c r="U236" s="21">
        <f t="shared" si="92"/>
        <v>0</v>
      </c>
      <c r="V236" s="22" t="s">
        <v>673</v>
      </c>
    </row>
    <row r="237" spans="1:22" s="40" customFormat="1" ht="11.25" customHeight="1" outlineLevel="1">
      <c r="A237" s="48"/>
      <c r="B237" s="26">
        <v>27300</v>
      </c>
      <c r="C237" s="26">
        <v>613</v>
      </c>
      <c r="D237" s="26" t="s">
        <v>707</v>
      </c>
      <c r="E237" s="21">
        <v>2344.19</v>
      </c>
      <c r="F237" s="21">
        <f>6231.45+2200</f>
        <v>8431.4500000000007</v>
      </c>
      <c r="G237" s="21">
        <f>12054.68+175-6215.11</f>
        <v>6014.5700000000006</v>
      </c>
      <c r="H237" s="21">
        <f>94.05+1265.88+4806.63</f>
        <v>6166.56</v>
      </c>
      <c r="I237" s="21">
        <v>42197.3</v>
      </c>
      <c r="J237" s="21">
        <v>5360.54</v>
      </c>
      <c r="K237" s="21">
        <f>1410.31-94.05</f>
        <v>1316.26</v>
      </c>
      <c r="L237" s="21">
        <f>1160.44+20</f>
        <v>1180.44</v>
      </c>
      <c r="M237" s="21">
        <v>3247.98</v>
      </c>
      <c r="N237" s="21">
        <f>635.11+119.39</f>
        <v>754.5</v>
      </c>
      <c r="O237" s="21">
        <f>2761.26+18.27</f>
        <v>2779.53</v>
      </c>
      <c r="P237" s="74">
        <v>2500</v>
      </c>
      <c r="Q237" s="74">
        <v>4930.1099999999997</v>
      </c>
      <c r="R237" s="21">
        <f t="shared" si="91"/>
        <v>84723.43</v>
      </c>
      <c r="S237" s="22"/>
      <c r="T237" s="21">
        <v>63605</v>
      </c>
      <c r="U237" s="21">
        <f t="shared" si="92"/>
        <v>-21118.429999999993</v>
      </c>
      <c r="V237" s="22" t="s">
        <v>708</v>
      </c>
    </row>
    <row r="238" spans="1:22" s="40" customFormat="1" ht="11.25" customHeight="1" outlineLevel="1">
      <c r="A238" s="48"/>
      <c r="B238" s="26">
        <v>27700</v>
      </c>
      <c r="C238" s="26">
        <v>319</v>
      </c>
      <c r="D238" s="26" t="s">
        <v>709</v>
      </c>
      <c r="E238" s="21">
        <f>4243</f>
        <v>4243</v>
      </c>
      <c r="F238" s="21">
        <v>0</v>
      </c>
      <c r="G238" s="21">
        <v>18079.939999999999</v>
      </c>
      <c r="H238" s="21">
        <v>0</v>
      </c>
      <c r="I238" s="21">
        <v>440</v>
      </c>
      <c r="J238" s="21">
        <v>0</v>
      </c>
      <c r="K238" s="21">
        <v>660</v>
      </c>
      <c r="L238" s="21">
        <v>125</v>
      </c>
      <c r="M238" s="21">
        <v>183.14</v>
      </c>
      <c r="N238" s="21">
        <f>8.95+861</f>
        <v>869.95</v>
      </c>
      <c r="O238" s="21">
        <f>960+1719.5</f>
        <v>2679.5</v>
      </c>
      <c r="P238" s="74"/>
      <c r="Q238" s="74">
        <f>5402.2-2500</f>
        <v>2902.2</v>
      </c>
      <c r="R238" s="21">
        <f t="shared" si="91"/>
        <v>30182.73</v>
      </c>
      <c r="S238" s="22"/>
      <c r="T238" s="21">
        <v>200000</v>
      </c>
      <c r="U238" s="21">
        <f t="shared" si="92"/>
        <v>169817.27</v>
      </c>
      <c r="V238" s="22" t="s">
        <v>710</v>
      </c>
    </row>
    <row r="239" spans="1:22" s="40" customFormat="1" ht="11.25" customHeight="1" outlineLevel="1">
      <c r="A239" s="48"/>
      <c r="B239" s="26">
        <v>27700</v>
      </c>
      <c r="C239" s="26">
        <v>519</v>
      </c>
      <c r="D239" s="26" t="s">
        <v>711</v>
      </c>
      <c r="E239" s="21">
        <v>77.790000000000006</v>
      </c>
      <c r="F239" s="21">
        <v>404.45</v>
      </c>
      <c r="G239" s="21">
        <v>7275.41</v>
      </c>
      <c r="H239" s="21">
        <v>2180</v>
      </c>
      <c r="I239" s="21">
        <v>22232</v>
      </c>
      <c r="J239" s="21">
        <v>800</v>
      </c>
      <c r="K239" s="21"/>
      <c r="L239" s="21"/>
      <c r="M239" s="21"/>
      <c r="N239" s="21"/>
      <c r="O239" s="21"/>
      <c r="P239" s="74"/>
      <c r="Q239" s="74">
        <v>724</v>
      </c>
      <c r="R239" s="21">
        <f t="shared" si="91"/>
        <v>33693.65</v>
      </c>
      <c r="S239" s="22"/>
      <c r="T239" s="21">
        <v>62997</v>
      </c>
      <c r="U239" s="21">
        <f t="shared" si="92"/>
        <v>29303.35</v>
      </c>
      <c r="V239" s="22" t="s">
        <v>712</v>
      </c>
    </row>
    <row r="240" spans="1:22" s="40" customFormat="1" ht="11.25" customHeight="1" outlineLevel="1">
      <c r="A240" s="48"/>
      <c r="B240" s="26">
        <v>27100</v>
      </c>
      <c r="C240" s="26">
        <v>319</v>
      </c>
      <c r="D240" s="26" t="s">
        <v>713</v>
      </c>
      <c r="E240" s="21">
        <v>40000</v>
      </c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74"/>
      <c r="Q240" s="74"/>
      <c r="R240" s="21">
        <f t="shared" si="91"/>
        <v>40000</v>
      </c>
      <c r="S240" s="22"/>
      <c r="T240" s="21">
        <v>0</v>
      </c>
      <c r="U240" s="21">
        <f t="shared" si="92"/>
        <v>-40000</v>
      </c>
      <c r="V240" s="22" t="s">
        <v>714</v>
      </c>
    </row>
    <row r="241" spans="1:22" s="40" customFormat="1" ht="11.25" customHeight="1" outlineLevel="1">
      <c r="A241" s="43" t="s">
        <v>690</v>
      </c>
      <c r="B241" s="44"/>
      <c r="C241" s="44"/>
      <c r="D241" s="44"/>
      <c r="E241" s="38">
        <f t="shared" ref="E241:P241" si="93">SUM(E226:E240)</f>
        <v>62514.82</v>
      </c>
      <c r="F241" s="38">
        <f t="shared" si="93"/>
        <v>20630.510000000002</v>
      </c>
      <c r="G241" s="38">
        <f t="shared" si="93"/>
        <v>54631.229999999996</v>
      </c>
      <c r="H241" s="38">
        <f t="shared" si="93"/>
        <v>25969.84</v>
      </c>
      <c r="I241" s="38">
        <f t="shared" si="93"/>
        <v>83973.650000000009</v>
      </c>
      <c r="J241" s="38">
        <f t="shared" si="93"/>
        <v>27719.320000000003</v>
      </c>
      <c r="K241" s="38">
        <f t="shared" si="93"/>
        <v>12112.75</v>
      </c>
      <c r="L241" s="38">
        <f>SUM(L226:L240)</f>
        <v>7579.59</v>
      </c>
      <c r="M241" s="38">
        <f>SUM(M226:M240)</f>
        <v>8683.74</v>
      </c>
      <c r="N241" s="38">
        <f>SUM(N226:N240)</f>
        <v>6877.07</v>
      </c>
      <c r="O241" s="38">
        <f>SUM(O226:O240)</f>
        <v>10711.65</v>
      </c>
      <c r="P241" s="75">
        <f t="shared" si="93"/>
        <v>11660.43</v>
      </c>
      <c r="Q241" s="75">
        <f>SUM(Q226:Q240)</f>
        <v>13807.099999999999</v>
      </c>
      <c r="R241" s="38">
        <f>SUM(R226:R240)</f>
        <v>335211.27</v>
      </c>
      <c r="S241" s="39"/>
      <c r="T241" s="38">
        <f>SUM(T226:T240)</f>
        <v>561855</v>
      </c>
      <c r="U241" s="38">
        <f>SUM(U226:U240)</f>
        <v>226643.72999999998</v>
      </c>
      <c r="V241" s="40" t="s">
        <v>715</v>
      </c>
    </row>
    <row r="242" spans="1:22" s="40" customFormat="1" ht="11.25" customHeight="1">
      <c r="A242" s="36" t="s">
        <v>716</v>
      </c>
      <c r="B242" s="44"/>
      <c r="C242" s="44"/>
      <c r="D242" s="44"/>
      <c r="E242" s="38">
        <f>E216+E225+E241</f>
        <v>96810.4</v>
      </c>
      <c r="F242" s="38">
        <f>F216+F225+F241</f>
        <v>44307.28</v>
      </c>
      <c r="G242" s="38">
        <f t="shared" ref="G242" si="94">G216+G225+G241</f>
        <v>78751.739999999991</v>
      </c>
      <c r="H242" s="38">
        <f>H216+H225+H241</f>
        <v>35851.32</v>
      </c>
      <c r="I242" s="38">
        <f>I216+I225+I241</f>
        <v>116069.25000000001</v>
      </c>
      <c r="J242" s="38">
        <f>J216+J225+J241</f>
        <v>98341.41</v>
      </c>
      <c r="K242" s="38">
        <f>K216+K225+K241</f>
        <v>27994.37</v>
      </c>
      <c r="L242" s="38">
        <f t="shared" ref="L242" si="95">L216+L225+L241</f>
        <v>30342.410000000003</v>
      </c>
      <c r="M242" s="38">
        <f>M216+M225+M241</f>
        <v>37156.559999999998</v>
      </c>
      <c r="N242" s="38">
        <f>N216+N225+N241</f>
        <v>19453.62</v>
      </c>
      <c r="O242" s="38">
        <f>O216+O225+O241</f>
        <v>51948.010000000009</v>
      </c>
      <c r="P242" s="75">
        <f t="shared" ref="P242" si="96">P216+P225+P241</f>
        <v>72570.45</v>
      </c>
      <c r="Q242" s="75">
        <f>Q216+Q225+Q241</f>
        <v>38273.020000000004</v>
      </c>
      <c r="R242" s="38">
        <f>R216+R225+R241</f>
        <v>675299.39</v>
      </c>
      <c r="S242" s="39"/>
      <c r="T242" s="38">
        <f>T216+T225+T241</f>
        <v>963795</v>
      </c>
      <c r="U242" s="38">
        <f>U216+U225+U241</f>
        <v>288495.61</v>
      </c>
    </row>
    <row r="243" spans="1:22" s="40" customFormat="1" ht="11.25" customHeight="1">
      <c r="B243" s="42"/>
      <c r="C243" s="42"/>
      <c r="D243" s="42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76"/>
      <c r="Q243" s="76"/>
      <c r="R243" s="39"/>
      <c r="S243" s="39"/>
      <c r="T243" s="38"/>
      <c r="U243" s="38"/>
    </row>
    <row r="244" spans="1:22" s="40" customFormat="1" ht="11.25" customHeight="1">
      <c r="A244" s="40" t="s">
        <v>324</v>
      </c>
      <c r="B244" s="42"/>
      <c r="C244" s="42"/>
      <c r="D244" s="42"/>
      <c r="E244" s="39">
        <f t="shared" ref="E244:P244" si="97">E99+E156+E188+E200+E203+E242+E204</f>
        <v>946154.58000000007</v>
      </c>
      <c r="F244" s="39">
        <f t="shared" si="97"/>
        <v>346481.78</v>
      </c>
      <c r="G244" s="39">
        <f t="shared" si="97"/>
        <v>427804.88999999996</v>
      </c>
      <c r="H244" s="39">
        <f t="shared" si="97"/>
        <v>340332.18000000005</v>
      </c>
      <c r="I244" s="39">
        <f t="shared" si="97"/>
        <v>418280.81999999995</v>
      </c>
      <c r="J244" s="39">
        <f t="shared" si="97"/>
        <v>520744.02</v>
      </c>
      <c r="K244" s="39">
        <f t="shared" si="97"/>
        <v>388976.56</v>
      </c>
      <c r="L244" s="39">
        <f t="shared" si="97"/>
        <v>297135.26</v>
      </c>
      <c r="M244" s="39">
        <f>M99+M156+M188+M200+M203+M242+M204</f>
        <v>303997.97000000003</v>
      </c>
      <c r="N244" s="39">
        <f>N99+N156+N188+N200+N203+N242+N204</f>
        <v>269464.89</v>
      </c>
      <c r="O244" s="39">
        <f>O99+O156+O188+O200+O203+O242+O204</f>
        <v>273521.64</v>
      </c>
      <c r="P244" s="76">
        <f t="shared" si="97"/>
        <v>466993.58999999997</v>
      </c>
      <c r="Q244" s="76">
        <f>Q99+Q156+Q188+Q200+Q203+Q242+Q204</f>
        <v>333703.95999999996</v>
      </c>
      <c r="R244" s="39">
        <f>R99+R156+R188+R200+R203+R242+R204</f>
        <v>4866598.55</v>
      </c>
      <c r="S244" s="39"/>
      <c r="T244" s="38">
        <f>T99+T156+T188+T200+T203+T242+T204</f>
        <v>5092660</v>
      </c>
      <c r="U244" s="38">
        <f>U99+U156+U188+U200+U203+U204+U242</f>
        <v>226061.44999999992</v>
      </c>
    </row>
    <row r="245" spans="1:22" s="40" customFormat="1" ht="11.25" customHeight="1">
      <c r="A245" s="36" t="s">
        <v>78</v>
      </c>
      <c r="B245" s="44"/>
      <c r="C245" s="44"/>
      <c r="D245" s="44"/>
      <c r="E245" s="38">
        <f t="shared" ref="E245:R245" si="98">E51-E244</f>
        <v>-209887.12000000011</v>
      </c>
      <c r="F245" s="38">
        <f t="shared" si="98"/>
        <v>113428.82</v>
      </c>
      <c r="G245" s="38">
        <f t="shared" si="98"/>
        <v>-182194.80999999991</v>
      </c>
      <c r="H245" s="38">
        <f t="shared" si="98"/>
        <v>88199.709999999963</v>
      </c>
      <c r="I245" s="38">
        <f t="shared" si="98"/>
        <v>167828.26000000013</v>
      </c>
      <c r="J245" s="38">
        <f t="shared" si="98"/>
        <v>-134974.04999999993</v>
      </c>
      <c r="K245" s="38">
        <f t="shared" si="98"/>
        <v>-163908.42999999996</v>
      </c>
      <c r="L245" s="38">
        <f>L51-L244</f>
        <v>-88601.020000000019</v>
      </c>
      <c r="M245" s="38">
        <f>M51-M244</f>
        <v>31674.399999999907</v>
      </c>
      <c r="N245" s="38">
        <f>N51-N244</f>
        <v>-2575.5400000000373</v>
      </c>
      <c r="O245" s="38">
        <f>O51-O244</f>
        <v>198661.89</v>
      </c>
      <c r="P245" s="75">
        <f t="shared" si="98"/>
        <v>131050.66999999993</v>
      </c>
      <c r="Q245" s="75">
        <f>Q51-Q244</f>
        <v>368570.32000000007</v>
      </c>
      <c r="R245" s="38">
        <f t="shared" si="98"/>
        <v>186222.43000000063</v>
      </c>
      <c r="S245" s="39"/>
      <c r="T245" s="38">
        <f>T51-T244</f>
        <v>131736</v>
      </c>
      <c r="U245" s="38">
        <f>U51+U244</f>
        <v>54486.430000000022</v>
      </c>
    </row>
    <row r="246" spans="1:22" s="40" customFormat="1" ht="11.25" customHeight="1">
      <c r="A246" s="22"/>
      <c r="B246" s="26"/>
      <c r="C246" s="26"/>
      <c r="D246" s="26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74"/>
      <c r="Q246" s="74"/>
      <c r="R246" s="21"/>
      <c r="T246" s="21"/>
      <c r="U246" s="21"/>
    </row>
    <row r="247" spans="1:22" s="40" customFormat="1" ht="11.25" customHeight="1">
      <c r="A247" s="40" t="s">
        <v>717</v>
      </c>
      <c r="B247" s="42"/>
      <c r="C247" s="42"/>
      <c r="D247" s="42"/>
      <c r="E247" s="39">
        <v>1121221.58</v>
      </c>
      <c r="F247" s="39">
        <f>E249</f>
        <v>911334.46</v>
      </c>
      <c r="G247" s="39">
        <v>1024763</v>
      </c>
      <c r="H247" s="39">
        <f>G249</f>
        <v>842568.19000000006</v>
      </c>
      <c r="I247" s="39">
        <v>930768</v>
      </c>
      <c r="J247" s="39">
        <v>1098596</v>
      </c>
      <c r="K247" s="39">
        <v>963622</v>
      </c>
      <c r="L247" s="39">
        <f>K249</f>
        <v>799713.57000000007</v>
      </c>
      <c r="M247" s="39">
        <f>L249</f>
        <v>711112.55</v>
      </c>
      <c r="N247" s="39">
        <f>M249</f>
        <v>742786.95</v>
      </c>
      <c r="O247" s="39">
        <v>740211</v>
      </c>
      <c r="P247" s="76">
        <f>O249</f>
        <v>938872.89</v>
      </c>
      <c r="Q247" s="76">
        <v>938873</v>
      </c>
      <c r="R247" s="39">
        <f>E247</f>
        <v>1121221.58</v>
      </c>
      <c r="T247" s="39">
        <f>E247</f>
        <v>1121221.58</v>
      </c>
      <c r="U247" s="39"/>
    </row>
    <row r="248" spans="1:22" s="40" customFormat="1" ht="11.25" customHeight="1">
      <c r="A248" s="49" t="s">
        <v>78</v>
      </c>
      <c r="B248" s="50"/>
      <c r="C248" s="50"/>
      <c r="D248" s="50"/>
      <c r="E248" s="51">
        <f>+E245</f>
        <v>-209887.12000000011</v>
      </c>
      <c r="F248" s="51">
        <f>+F245</f>
        <v>113428.82</v>
      </c>
      <c r="G248" s="51">
        <f t="shared" ref="G248" si="99">+G245</f>
        <v>-182194.80999999991</v>
      </c>
      <c r="H248" s="51">
        <f>+H245</f>
        <v>88199.709999999963</v>
      </c>
      <c r="I248" s="51">
        <f>+I245</f>
        <v>167828.26000000013</v>
      </c>
      <c r="J248" s="51">
        <f>+J245</f>
        <v>-134974.04999999993</v>
      </c>
      <c r="K248" s="51">
        <f>+K245</f>
        <v>-163908.42999999996</v>
      </c>
      <c r="L248" s="51">
        <f t="shared" ref="L248" si="100">+L245</f>
        <v>-88601.020000000019</v>
      </c>
      <c r="M248" s="51">
        <f>+M245</f>
        <v>31674.399999999907</v>
      </c>
      <c r="N248" s="51">
        <f>+N245</f>
        <v>-2575.5400000000373</v>
      </c>
      <c r="O248" s="51">
        <f>+O245</f>
        <v>198661.89</v>
      </c>
      <c r="P248" s="79">
        <f t="shared" ref="P248" si="101">+P245</f>
        <v>131050.66999999993</v>
      </c>
      <c r="Q248" s="79">
        <f>+Q245</f>
        <v>368570.32000000007</v>
      </c>
      <c r="R248" s="52">
        <f>SUM(E248:Q248)-P248</f>
        <v>186222.43000000017</v>
      </c>
      <c r="S248" s="39"/>
      <c r="T248" s="39">
        <f>+T245</f>
        <v>131736</v>
      </c>
      <c r="U248" s="39"/>
    </row>
    <row r="249" spans="1:22" s="40" customFormat="1" ht="11.25" customHeight="1" thickBot="1">
      <c r="A249" s="53" t="s">
        <v>718</v>
      </c>
      <c r="B249" s="54"/>
      <c r="C249" s="54"/>
      <c r="D249" s="54"/>
      <c r="E249" s="55">
        <f t="shared" ref="E249:L249" si="102">+E247+E248</f>
        <v>911334.46</v>
      </c>
      <c r="F249" s="55">
        <f t="shared" si="102"/>
        <v>1024763.28</v>
      </c>
      <c r="G249" s="55">
        <f t="shared" si="102"/>
        <v>842568.19000000006</v>
      </c>
      <c r="H249" s="55">
        <f t="shared" si="102"/>
        <v>930767.9</v>
      </c>
      <c r="I249" s="55">
        <f t="shared" si="102"/>
        <v>1098596.2600000002</v>
      </c>
      <c r="J249" s="55">
        <f t="shared" si="102"/>
        <v>963621.95000000007</v>
      </c>
      <c r="K249" s="55">
        <f t="shared" si="102"/>
        <v>799713.57000000007</v>
      </c>
      <c r="L249" s="55">
        <f t="shared" si="102"/>
        <v>711112.55</v>
      </c>
      <c r="M249" s="55">
        <f>+M247+M248</f>
        <v>742786.95</v>
      </c>
      <c r="N249" s="55">
        <f>+N247+N248</f>
        <v>740211.40999999992</v>
      </c>
      <c r="O249" s="55">
        <f>+O247+O248</f>
        <v>938872.89</v>
      </c>
      <c r="P249" s="80">
        <f t="shared" ref="P249" si="103">+P247+P248</f>
        <v>1069923.56</v>
      </c>
      <c r="Q249" s="80">
        <f>+Q247+Q248</f>
        <v>1307443.32</v>
      </c>
      <c r="R249" s="55">
        <f>+R247+R248</f>
        <v>1307444.0100000002</v>
      </c>
      <c r="T249" s="55">
        <f>+T247+T248</f>
        <v>1252957.58</v>
      </c>
      <c r="U249" s="39"/>
    </row>
    <row r="250" spans="1:22" ht="12" thickTop="1"/>
    <row r="251" spans="1:22">
      <c r="M251" s="39"/>
      <c r="S251" s="39"/>
    </row>
    <row r="252" spans="1:22">
      <c r="K252" s="23"/>
      <c r="S252" s="39"/>
    </row>
    <row r="253" spans="1:22">
      <c r="S253" s="39"/>
    </row>
  </sheetData>
  <pageMargins left="0.7" right="0.7" top="0.75" bottom="0.75" header="0.3" footer="0.3"/>
  <pageSetup scale="40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b0f5d9-ffb3-43d9-a548-d2b23b9a9441" xsi:nil="true"/>
    <_ip_UnifiedCompliancePolicyUIAction xmlns="http://schemas.microsoft.com/sharepoint/v3" xsi:nil="true"/>
    <lcf76f155ced4ddcb4097134ff3c332f xmlns="dda2d88a-e2a2-43f5-92b1-8dea95816469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41F4564A8E541BA98B7ADA8BA0855" ma:contentTypeVersion="19" ma:contentTypeDescription="Create a new document." ma:contentTypeScope="" ma:versionID="12ba73ddb6b35146979d181113b03826">
  <xsd:schema xmlns:xsd="http://www.w3.org/2001/XMLSchema" xmlns:xs="http://www.w3.org/2001/XMLSchema" xmlns:p="http://schemas.microsoft.com/office/2006/metadata/properties" xmlns:ns1="http://schemas.microsoft.com/sharepoint/v3" xmlns:ns2="dda2d88a-e2a2-43f5-92b1-8dea95816469" xmlns:ns3="33b0f5d9-ffb3-43d9-a548-d2b23b9a9441" targetNamespace="http://schemas.microsoft.com/office/2006/metadata/properties" ma:root="true" ma:fieldsID="6dbaa3d3c16032866b4a636bfac472cf" ns1:_="" ns2:_="" ns3:_="">
    <xsd:import namespace="http://schemas.microsoft.com/sharepoint/v3"/>
    <xsd:import namespace="dda2d88a-e2a2-43f5-92b1-8dea95816469"/>
    <xsd:import namespace="33b0f5d9-ffb3-43d9-a548-d2b23b9a9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2d88a-e2a2-43f5-92b1-8dea95816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a9d261-80e4-483c-a250-d9185743d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0f5d9-ffb3-43d9-a548-d2b23b9a9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38a3287-5771-4fe1-966a-7d06b6c7d9e5}" ma:internalName="TaxCatchAll" ma:showField="CatchAllData" ma:web="33b0f5d9-ffb3-43d9-a548-d2b23b9a94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39A17D-E3A3-4A68-AE13-04FA822D645A}"/>
</file>

<file path=customXml/itemProps2.xml><?xml version="1.0" encoding="utf-8"?>
<ds:datastoreItem xmlns:ds="http://schemas.openxmlformats.org/officeDocument/2006/customXml" ds:itemID="{E532C5D7-EE46-461C-8EF6-34831F6E73E6}"/>
</file>

<file path=customXml/itemProps3.xml><?xml version="1.0" encoding="utf-8"?>
<ds:datastoreItem xmlns:ds="http://schemas.openxmlformats.org/officeDocument/2006/customXml" ds:itemID="{C67232BE-1B21-4FC4-B89E-48A72AB51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Grove</dc:creator>
  <cp:keywords/>
  <dc:description/>
  <cp:lastModifiedBy>Sikand, Angad</cp:lastModifiedBy>
  <cp:revision/>
  <dcterms:created xsi:type="dcterms:W3CDTF">2021-10-19T20:43:38Z</dcterms:created>
  <dcterms:modified xsi:type="dcterms:W3CDTF">2026-09-02T18:18:23Z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0x0101004F441F4564A8E541BA98B7ADA8BA0855</vt:lpwstr>
  </property>
  <property fmtid="{D5CDD505-2E9C-101B-9397-08002B2CF9AE}" pid="3" name="MediaServiceImageTags">
    <vt:lpwstr/>
  </property>
</Properties>
</file>